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/Dan/tax policy associates/"/>
    </mc:Choice>
  </mc:AlternateContent>
  <xr:revisionPtr revIDLastSave="0" documentId="13_ncr:1_{AB48523F-2B51-4544-9B3C-B7749078AD49}" xr6:coauthVersionLast="47" xr6:coauthVersionMax="47" xr10:uidLastSave="{00000000-0000-0000-0000-000000000000}"/>
  <bookViews>
    <workbookView xWindow="9960" yWindow="6020" windowWidth="28040" windowHeight="23580" activeTab="1" xr2:uid="{6BC5C1E7-E13F-D044-A54A-F220B43351D9}"/>
  </bookViews>
  <sheets>
    <sheet name="data" sheetId="1" r:id="rId1"/>
    <sheet name="estim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7" i="2"/>
  <c r="H8" i="2"/>
  <c r="H9" i="2"/>
  <c r="H10" i="2"/>
  <c r="H11" i="2"/>
  <c r="H12" i="2"/>
  <c r="H13" i="2"/>
  <c r="H14" i="2"/>
  <c r="H15" i="2"/>
  <c r="H16" i="2"/>
  <c r="H7" i="2"/>
  <c r="F8" i="2"/>
  <c r="G8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7" i="2"/>
  <c r="G7" i="2" s="1"/>
  <c r="I11" i="1"/>
  <c r="H11" i="1"/>
  <c r="E11" i="1"/>
  <c r="D11" i="1"/>
  <c r="E92" i="1"/>
  <c r="D92" i="1"/>
  <c r="E72" i="1"/>
  <c r="D72" i="1"/>
  <c r="E51" i="1"/>
  <c r="D51" i="1"/>
  <c r="E31" i="1"/>
  <c r="D31" i="1"/>
  <c r="B41" i="1"/>
  <c r="E8" i="2"/>
  <c r="E9" i="2"/>
  <c r="E10" i="2"/>
  <c r="E11" i="2"/>
  <c r="E12" i="2"/>
  <c r="E13" i="2"/>
  <c r="E14" i="2"/>
  <c r="E15" i="2"/>
  <c r="E16" i="2"/>
  <c r="E7" i="2"/>
  <c r="B93" i="1"/>
  <c r="B99" i="1" s="1"/>
  <c r="C92" i="1"/>
  <c r="H91" i="1"/>
  <c r="D91" i="1"/>
  <c r="C91" i="1"/>
  <c r="B73" i="1"/>
  <c r="B79" i="1" s="1"/>
  <c r="C72" i="1"/>
  <c r="H71" i="1"/>
  <c r="D71" i="1"/>
  <c r="C71" i="1"/>
  <c r="H50" i="1"/>
  <c r="H51" i="1" s="1"/>
  <c r="H30" i="1"/>
  <c r="H31" i="1" s="1"/>
  <c r="H10" i="1"/>
  <c r="I10" i="1" s="1"/>
  <c r="B32" i="1"/>
  <c r="B34" i="1" s="1"/>
  <c r="B37" i="1" s="1"/>
  <c r="C31" i="1"/>
  <c r="B12" i="1"/>
  <c r="B18" i="1" s="1"/>
  <c r="C10" i="1"/>
  <c r="B52" i="1"/>
  <c r="B58" i="1" s="1"/>
  <c r="C51" i="1"/>
  <c r="D50" i="1"/>
  <c r="E50" i="1" s="1"/>
  <c r="C50" i="1"/>
  <c r="D30" i="1"/>
  <c r="E30" i="1" s="1"/>
  <c r="C30" i="1"/>
  <c r="C11" i="1"/>
  <c r="F10" i="2" l="1"/>
  <c r="G10" i="2" s="1"/>
  <c r="F9" i="2"/>
  <c r="G9" i="2" s="1"/>
  <c r="C93" i="1"/>
  <c r="I17" i="2"/>
  <c r="C95" i="1"/>
  <c r="C96" i="1" s="1"/>
  <c r="C99" i="1"/>
  <c r="H92" i="1"/>
  <c r="D93" i="1"/>
  <c r="B95" i="1"/>
  <c r="B96" i="1" s="1"/>
  <c r="E91" i="1"/>
  <c r="C73" i="1"/>
  <c r="C75" i="1" s="1"/>
  <c r="E71" i="1"/>
  <c r="H72" i="1"/>
  <c r="D73" i="1"/>
  <c r="B75" i="1"/>
  <c r="B76" i="1" s="1"/>
  <c r="H52" i="1"/>
  <c r="H32" i="1"/>
  <c r="I12" i="1"/>
  <c r="B54" i="1"/>
  <c r="B55" i="1" s="1"/>
  <c r="B38" i="1"/>
  <c r="H12" i="1"/>
  <c r="C32" i="1"/>
  <c r="C12" i="1"/>
  <c r="C18" i="1" s="1"/>
  <c r="B35" i="1"/>
  <c r="B36" i="1"/>
  <c r="C52" i="1"/>
  <c r="B14" i="1"/>
  <c r="B17" i="1" s="1"/>
  <c r="D10" i="1"/>
  <c r="D32" i="1"/>
  <c r="E52" i="1"/>
  <c r="D52" i="1"/>
  <c r="E32" i="1"/>
  <c r="C79" i="1" l="1"/>
  <c r="D95" i="1"/>
  <c r="D98" i="1" s="1"/>
  <c r="D99" i="1"/>
  <c r="D96" i="1"/>
  <c r="B97" i="1"/>
  <c r="H93" i="1"/>
  <c r="C98" i="1"/>
  <c r="B98" i="1"/>
  <c r="C97" i="1"/>
  <c r="C102" i="1" s="1"/>
  <c r="C103" i="1" s="1"/>
  <c r="B40" i="1"/>
  <c r="C78" i="1"/>
  <c r="C77" i="1"/>
  <c r="C76" i="1"/>
  <c r="B77" i="1"/>
  <c r="B78" i="1"/>
  <c r="E73" i="1"/>
  <c r="D75" i="1"/>
  <c r="D78" i="1" s="1"/>
  <c r="D79" i="1"/>
  <c r="H73" i="1"/>
  <c r="B82" i="1"/>
  <c r="H54" i="1"/>
  <c r="H56" i="1" s="1"/>
  <c r="H34" i="1"/>
  <c r="H36" i="1" s="1"/>
  <c r="B57" i="1"/>
  <c r="B56" i="1"/>
  <c r="C14" i="1"/>
  <c r="C17" i="1" s="1"/>
  <c r="I14" i="1"/>
  <c r="I16" i="1" s="1"/>
  <c r="H14" i="1"/>
  <c r="H17" i="1" s="1"/>
  <c r="C54" i="1"/>
  <c r="C58" i="1"/>
  <c r="C56" i="1"/>
  <c r="C55" i="1"/>
  <c r="E54" i="1"/>
  <c r="E58" i="1"/>
  <c r="C34" i="1"/>
  <c r="C38" i="1"/>
  <c r="E34" i="1"/>
  <c r="E37" i="1" s="1"/>
  <c r="E38" i="1"/>
  <c r="D38" i="1"/>
  <c r="D34" i="1"/>
  <c r="D58" i="1"/>
  <c r="D54" i="1"/>
  <c r="B42" i="1"/>
  <c r="D12" i="1"/>
  <c r="B16" i="1"/>
  <c r="B15" i="1"/>
  <c r="E10" i="1"/>
  <c r="D76" i="1" l="1"/>
  <c r="C15" i="1"/>
  <c r="C16" i="1"/>
  <c r="C20" i="1" s="1"/>
  <c r="C81" i="1"/>
  <c r="D97" i="1"/>
  <c r="D102" i="1" s="1"/>
  <c r="B102" i="1"/>
  <c r="C101" i="1"/>
  <c r="C82" i="1"/>
  <c r="C83" i="1" s="1"/>
  <c r="B103" i="1"/>
  <c r="B104" i="1"/>
  <c r="H95" i="1"/>
  <c r="H98" i="1" s="1"/>
  <c r="B101" i="1"/>
  <c r="E93" i="1"/>
  <c r="B60" i="1"/>
  <c r="B61" i="1"/>
  <c r="B62" i="1" s="1"/>
  <c r="B81" i="1"/>
  <c r="B83" i="1"/>
  <c r="H75" i="1"/>
  <c r="H77" i="1" s="1"/>
  <c r="E75" i="1"/>
  <c r="E76" i="1" s="1"/>
  <c r="E79" i="1"/>
  <c r="D77" i="1"/>
  <c r="D82" i="1" s="1"/>
  <c r="H55" i="1"/>
  <c r="H57" i="1"/>
  <c r="H35" i="1"/>
  <c r="H37" i="1"/>
  <c r="I15" i="1"/>
  <c r="B20" i="1"/>
  <c r="I17" i="1"/>
  <c r="H15" i="1"/>
  <c r="H16" i="1"/>
  <c r="C57" i="1"/>
  <c r="C61" i="1" s="1"/>
  <c r="C36" i="1"/>
  <c r="C37" i="1"/>
  <c r="C35" i="1"/>
  <c r="D56" i="1"/>
  <c r="D57" i="1"/>
  <c r="D55" i="1"/>
  <c r="E35" i="1"/>
  <c r="E57" i="1"/>
  <c r="E55" i="1"/>
  <c r="E56" i="1"/>
  <c r="E36" i="1"/>
  <c r="D37" i="1"/>
  <c r="D36" i="1"/>
  <c r="D35" i="1"/>
  <c r="D18" i="1"/>
  <c r="D14" i="1"/>
  <c r="C21" i="1"/>
  <c r="C22" i="1" s="1"/>
  <c r="E12" i="1"/>
  <c r="B21" i="1"/>
  <c r="D101" i="1" l="1"/>
  <c r="D105" i="1" s="1"/>
  <c r="D81" i="1"/>
  <c r="H96" i="1"/>
  <c r="H97" i="1"/>
  <c r="D85" i="1"/>
  <c r="B84" i="1"/>
  <c r="H102" i="1"/>
  <c r="H101" i="1"/>
  <c r="H105" i="1" s="1"/>
  <c r="D103" i="1"/>
  <c r="E95" i="1"/>
  <c r="E98" i="1" s="1"/>
  <c r="E99" i="1"/>
  <c r="H78" i="1"/>
  <c r="H76" i="1"/>
  <c r="D83" i="1"/>
  <c r="E77" i="1"/>
  <c r="E78" i="1"/>
  <c r="H61" i="1"/>
  <c r="H60" i="1"/>
  <c r="H41" i="1"/>
  <c r="H40" i="1"/>
  <c r="E60" i="1"/>
  <c r="I20" i="1"/>
  <c r="I21" i="1"/>
  <c r="I22" i="1" s="1"/>
  <c r="C62" i="1"/>
  <c r="B63" i="1"/>
  <c r="C60" i="1"/>
  <c r="H21" i="1"/>
  <c r="H20" i="1"/>
  <c r="E61" i="1"/>
  <c r="E62" i="1" s="1"/>
  <c r="D61" i="1"/>
  <c r="D60" i="1"/>
  <c r="D64" i="1" s="1"/>
  <c r="E41" i="1"/>
  <c r="E42" i="1" s="1"/>
  <c r="E40" i="1"/>
  <c r="C41" i="1"/>
  <c r="C40" i="1"/>
  <c r="D40" i="1"/>
  <c r="D44" i="1" s="1"/>
  <c r="D41" i="1"/>
  <c r="D42" i="1" s="1"/>
  <c r="E14" i="1"/>
  <c r="E17" i="1" s="1"/>
  <c r="E18" i="1"/>
  <c r="B23" i="1"/>
  <c r="D17" i="1"/>
  <c r="D15" i="1"/>
  <c r="D16" i="1"/>
  <c r="B22" i="1"/>
  <c r="E81" i="1" l="1"/>
  <c r="H64" i="1"/>
  <c r="E96" i="1"/>
  <c r="E97" i="1"/>
  <c r="E102" i="1" s="1"/>
  <c r="H104" i="1"/>
  <c r="H103" i="1"/>
  <c r="H44" i="1"/>
  <c r="E82" i="1"/>
  <c r="E83" i="1" s="1"/>
  <c r="E15" i="1"/>
  <c r="E16" i="1"/>
  <c r="H82" i="1"/>
  <c r="H81" i="1"/>
  <c r="H85" i="1" s="1"/>
  <c r="H63" i="1"/>
  <c r="H62" i="1"/>
  <c r="H42" i="1"/>
  <c r="H43" i="1"/>
  <c r="H23" i="1"/>
  <c r="H22" i="1"/>
  <c r="D20" i="1"/>
  <c r="H24" i="1" s="1"/>
  <c r="D43" i="1"/>
  <c r="C42" i="1"/>
  <c r="B43" i="1"/>
  <c r="D62" i="1"/>
  <c r="D63" i="1"/>
  <c r="D21" i="1"/>
  <c r="D22" i="1" s="1"/>
  <c r="E21" i="1"/>
  <c r="E22" i="1" s="1"/>
  <c r="D24" i="1" l="1"/>
  <c r="D84" i="1"/>
  <c r="E103" i="1"/>
  <c r="D104" i="1"/>
  <c r="E101" i="1"/>
  <c r="E20" i="1"/>
  <c r="H83" i="1"/>
  <c r="H84" i="1"/>
  <c r="D23" i="1"/>
</calcChain>
</file>

<file path=xl/sharedStrings.xml><?xml version="1.0" encoding="utf-8"?>
<sst xmlns="http://schemas.openxmlformats.org/spreadsheetml/2006/main" count="193" uniqueCount="62">
  <si>
    <t>Total tax</t>
  </si>
  <si>
    <t>Current</t>
  </si>
  <si>
    <t>With employer NICs</t>
  </si>
  <si>
    <t>Partnership profit share</t>
  </si>
  <si>
    <t>Employer NIC on distribution</t>
  </si>
  <si>
    <t>Net income for partner</t>
  </si>
  <si>
    <t>IT - basic rate</t>
  </si>
  <si>
    <t>IT - higher rate</t>
  </si>
  <si>
    <t>IT - additional rate</t>
  </si>
  <si>
    <t>Employee NICs</t>
  </si>
  <si>
    <t>Take home pay</t>
  </si>
  <si>
    <t>Effective tax rate</t>
  </si>
  <si>
    <t>Marginal rate</t>
  </si>
  <si>
    <t>Marginal</t>
  </si>
  <si>
    <t>The average doctor</t>
  </si>
  <si>
    <t>The average lawyer</t>
  </si>
  <si>
    <t>The average fund manager</t>
  </si>
  <si>
    <t>personal allowance</t>
  </si>
  <si>
    <t>Assumes no student loan, ignores effect of childcare subsidies</t>
  </si>
  <si>
    <t>Pre-tax profit</t>
  </si>
  <si>
    <t>corporation tax</t>
  </si>
  <si>
    <t>dividend to partner</t>
  </si>
  <si>
    <t>Change in take-home pay</t>
  </si>
  <si>
    <t>If restructured as company (assume overall profits &gt;£250k so 25% rate applies)</t>
  </si>
  <si>
    <t>A super-high earner</t>
  </si>
  <si>
    <t>Saving vs staying put</t>
  </si>
  <si>
    <t>Simplified tax calculations if LLPs pay employer NICs on distributions to members</t>
  </si>
  <si>
    <t>Ignores exempt amount/allowance proposed in Centax paper</t>
  </si>
  <si>
    <t>"Magic circle" law firm partner</t>
  </si>
  <si>
    <t>Rank</t>
  </si>
  <si>
    <t>Industry</t>
  </si>
  <si>
    <t>Total partnership income (share of all partnership
income)</t>
  </si>
  <si>
    <t>Income per partner (£)</t>
  </si>
  <si>
    <t>Solicitors</t>
  </si>
  <si>
    <t>£316,000</t>
  </si>
  <si>
    <t>Other activities auxiliary to
financial services</t>
  </si>
  <si>
    <t>£675,000</t>
  </si>
  <si>
    <t>General medical practice activities</t>
  </si>
  <si>
    <t>£118,000</t>
  </si>
  <si>
    <t>Accounting, and auditing activities</t>
  </si>
  <si>
    <t>£246,000</t>
  </si>
  <si>
    <t>Activities of patent and copyright agents; other legal activities</t>
  </si>
  <si>
    <t>£498,000</t>
  </si>
  <si>
    <t>Mixed farming</t>
  </si>
  <si>
    <t>£16,000</t>
  </si>
  <si>
    <t>Management consultancy activities</t>
  </si>
  <si>
    <t>£122,000</t>
  </si>
  <si>
    <t>Fund management activities</t>
  </si>
  <si>
    <t>£609,000</t>
  </si>
  <si>
    <t>Real estate agencies</t>
  </si>
  <si>
    <t>£98,000</t>
  </si>
  <si>
    <t>Other engineering activities</t>
  </si>
  <si>
    <t>implied number</t>
  </si>
  <si>
    <t>Exempt amount</t>
  </si>
  <si>
    <t>lost IT/NI</t>
  </si>
  <si>
    <t>net new revenue</t>
  </si>
  <si>
    <t>HIGHLY APPROXIMATE estimate of revenue if policy includes large per-person exempt amount</t>
  </si>
  <si>
    <t>Doesn't take account of elasticity or wage inflation since 2020; those two effects broadly cancel out</t>
  </si>
  <si>
    <t>Table from CenTax report, page 10</t>
  </si>
  <si>
    <t>Will over-state the cost of the exemption because it uses a very simple average across each industry (and therefore is "counting"a complete loss from  people who earn less than the exempt amount)</t>
  </si>
  <si>
    <t>NIC revenue no limit</t>
  </si>
  <si>
    <t>revenue over exempt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</si>
</sst>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_);[Red]\(&quot;£&quot;#,##0\)"/>
    <numFmt numFmtId="43" formatCode="_(* #,##0.00_);_(* \(#,##0.00\);_(* &quot;-&quot;??_);_(@_)"/>
    <numFmt numFmtId="164" formatCode="0.0%"/>
    <numFmt numFmtId="165" formatCode="&quot;£&quot;#,##0"/>
    <numFmt numFmtId="166" formatCode="&quot;£&quot;#,##0.0_);[Red]\(&quot;£&quot;#,##0.0\)"/>
    <numFmt numFmtId="167" formatCode="_(* #,##0_);_(* \(#,##0\);_(* &quot;-&quot;??_);_(@_)"/>
    <numFmt numFmtId="168" formatCode="_(* #,##0.0_);_(* \(#,##0.0\);_(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6" fontId="0" fillId="0" borderId="0" xfId="0" applyNumberFormat="1"/>
    <xf numFmtId="9" fontId="0" fillId="0" borderId="0" xfId="0" applyNumberFormat="1"/>
    <xf numFmtId="166" fontId="0" fillId="0" borderId="0" xfId="0" applyNumberFormat="1"/>
    <xf numFmtId="6" fontId="0" fillId="2" borderId="0" xfId="0" applyNumberFormat="1" applyFill="1"/>
    <xf numFmtId="6" fontId="2" fillId="0" borderId="0" xfId="0" applyNumberFormat="1" applyFont="1"/>
    <xf numFmtId="0" fontId="3" fillId="0" borderId="0" xfId="0" applyFont="1"/>
    <xf numFmtId="1" fontId="0" fillId="0" borderId="0" xfId="0" applyNumberFormat="1"/>
    <xf numFmtId="167" fontId="0" fillId="0" borderId="0" xfId="1" applyNumberFormat="1" applyFont="1"/>
    <xf numFmtId="166" fontId="2" fillId="0" borderId="0" xfId="0" applyNumberFormat="1" applyFont="1"/>
    <xf numFmtId="168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263769</xdr:colOff>
      <xdr:row>0</xdr:row>
      <xdr:rowOff>195385</xdr:rowOff>
    </xdr:from>
    <xdr:to>
      <xdr:col>0</xdr:col>
      <xdr:colOff>1653441</xdr:colOff>
      <xdr:row>0</xdr:row>
      <xdr:rowOff>595923</xdr:rowOff>
    </xdr:to>
    <xdr:pic>
      <xdr:nvPicPr>
        <xdr:cNvPr id="2" name="Picture 1" descr="Tax Policy Associates - the independent tax think tank">
          <a:extLst>
            <a:ext uri="{FF2B5EF4-FFF2-40B4-BE49-F238E27FC236}">
              <a16:creationId xmlns:a16="http://schemas.microsoft.com/office/drawing/2014/main" id="{E118B858-7D58-86DF-71C5-6D1FFFC8F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69" y="195385"/>
          <a:ext cx="1389672" cy="400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CC10-E0E8-8C48-9A67-26CE897ECBA1}">
  <dimension ref="A1:I105"/>
  <sheetViews>
    <sheetView zoomScale="169" zoomScaleNormal="169" workbookViewId="0">
      <selection activeCell="D11" sqref="D11"/>
    </sheetView>
  </sheetViews>
  <sheetFormatPr baseColWidth="10" defaultRowHeight="16" x14ac:dyDescent="0.2"/>
  <cols>
    <col min="1" max="1" width="25.6640625" customWidth="1"/>
    <col min="2" max="2" width="12.83203125" customWidth="1"/>
    <col min="3" max="3" width="11.33203125" hidden="1" customWidth="1"/>
    <col min="4" max="4" width="14.1640625" customWidth="1"/>
    <col min="5" max="5" width="10.83203125" hidden="1" customWidth="1"/>
    <col min="7" max="7" width="24.83203125" customWidth="1"/>
    <col min="8" max="8" width="11.6640625" customWidth="1"/>
    <col min="9" max="9" width="10.83203125" hidden="1" customWidth="1"/>
  </cols>
  <sheetData>
    <row r="1" spans="1:9" ht="61" customHeight="1" x14ac:dyDescent="0.2"/>
    <row r="2" spans="1:9" ht="22" x14ac:dyDescent="0.3">
      <c r="A2" s="9" t="s">
        <v>26</v>
      </c>
    </row>
    <row r="3" spans="1:9" x14ac:dyDescent="0.2">
      <c r="A3" s="2" t="s">
        <v>18</v>
      </c>
    </row>
    <row r="4" spans="1:9" x14ac:dyDescent="0.2">
      <c r="A4" t="s">
        <v>27</v>
      </c>
    </row>
    <row r="7" spans="1:9" x14ac:dyDescent="0.2">
      <c r="A7" s="2" t="s">
        <v>14</v>
      </c>
    </row>
    <row r="9" spans="1:9" x14ac:dyDescent="0.2">
      <c r="B9" s="2" t="s">
        <v>1</v>
      </c>
      <c r="C9" s="2" t="s">
        <v>13</v>
      </c>
      <c r="D9" s="2" t="s">
        <v>2</v>
      </c>
      <c r="E9" s="2" t="s">
        <v>13</v>
      </c>
      <c r="G9" s="2" t="s">
        <v>23</v>
      </c>
      <c r="H9" s="2"/>
      <c r="I9" s="2" t="s">
        <v>13</v>
      </c>
    </row>
    <row r="10" spans="1:9" x14ac:dyDescent="0.2">
      <c r="A10" t="s">
        <v>3</v>
      </c>
      <c r="B10" s="7">
        <v>118000</v>
      </c>
      <c r="C10" s="4">
        <f>B10+100</f>
        <v>118100</v>
      </c>
      <c r="D10" s="4">
        <f>B10</f>
        <v>118000</v>
      </c>
      <c r="E10" s="4">
        <f>D10+100</f>
        <v>118100</v>
      </c>
      <c r="G10" t="s">
        <v>19</v>
      </c>
      <c r="H10" s="4">
        <f>B10</f>
        <v>118000</v>
      </c>
      <c r="I10" s="4">
        <f>H10+100</f>
        <v>118100</v>
      </c>
    </row>
    <row r="11" spans="1:9" x14ac:dyDescent="0.2">
      <c r="A11" t="s">
        <v>4</v>
      </c>
      <c r="B11" s="4"/>
      <c r="C11" s="4">
        <f>B11</f>
        <v>0</v>
      </c>
      <c r="D11" s="4">
        <f>-(D10-(D10/1.15))</f>
        <v>-15391.304347826081</v>
      </c>
      <c r="E11" s="4">
        <f>-(E10-(E10/1.15))</f>
        <v>-15404.347826086945</v>
      </c>
      <c r="G11" t="s">
        <v>20</v>
      </c>
      <c r="H11" s="4">
        <f>-H10*0.25</f>
        <v>-29500</v>
      </c>
      <c r="I11" s="4">
        <f>-I10*0.25</f>
        <v>-29525</v>
      </c>
    </row>
    <row r="12" spans="1:9" x14ac:dyDescent="0.2">
      <c r="A12" t="s">
        <v>5</v>
      </c>
      <c r="B12" s="4">
        <f>B10+B11</f>
        <v>118000</v>
      </c>
      <c r="C12" s="4">
        <f>C10+C11</f>
        <v>118100</v>
      </c>
      <c r="D12" s="4">
        <f>D10+D11</f>
        <v>102608.69565217392</v>
      </c>
      <c r="E12" s="4">
        <f>E10+E11</f>
        <v>102695.65217391305</v>
      </c>
      <c r="G12" t="s">
        <v>21</v>
      </c>
      <c r="H12" s="4">
        <f>H10+H11</f>
        <v>88500</v>
      </c>
      <c r="I12" s="4">
        <f>I10+I11</f>
        <v>88575</v>
      </c>
    </row>
    <row r="13" spans="1:9" x14ac:dyDescent="0.2">
      <c r="B13" s="4"/>
      <c r="C13" s="4"/>
      <c r="D13" s="4"/>
      <c r="E13" s="4"/>
    </row>
    <row r="14" spans="1:9" x14ac:dyDescent="0.2">
      <c r="A14" t="s">
        <v>17</v>
      </c>
      <c r="B14" s="4">
        <f>MAX(0, 12570 - INT(MAX(0, B12 - 100000) / 2))</f>
        <v>3570</v>
      </c>
      <c r="C14" s="4">
        <f>MAX(0, 12570 - INT(MAX(0, C12 - 100000) / 2))</f>
        <v>3520</v>
      </c>
      <c r="D14" s="4">
        <f>MAX(0, 12570 - INT(MAX(0, D12 - 100000) / 2))</f>
        <v>11266</v>
      </c>
      <c r="E14" s="4">
        <f>MAX(0, 12570 - INT(MAX(0, E12 - 100000) / 2))</f>
        <v>11223</v>
      </c>
      <c r="G14" t="s">
        <v>17</v>
      </c>
      <c r="H14" s="4">
        <f>MAX(0, 12570 - INT(MAX(0, H12 - 100000) / 2))</f>
        <v>12570</v>
      </c>
      <c r="I14" s="4">
        <f>MAX(0, 12570 - INT(MAX(0, I12 - 100000) / 2))</f>
        <v>12570</v>
      </c>
    </row>
    <row r="15" spans="1:9" x14ac:dyDescent="0.2">
      <c r="A15" t="s">
        <v>6</v>
      </c>
      <c r="B15" s="4">
        <f>-0.2 * MIN(MAX(B12 - B14, 0), 37700)</f>
        <v>-7540</v>
      </c>
      <c r="C15" s="4">
        <f>-0.2 * MIN(MAX(C12 - C14, 0), 37700)</f>
        <v>-7540</v>
      </c>
      <c r="D15" s="4">
        <f>-0.2 * MIN(MAX(D12 - D14, 0), 37700)</f>
        <v>-7540</v>
      </c>
      <c r="E15" s="4">
        <f>-0.2 * MIN(MAX(E12 - E14, 0), 37700)</f>
        <v>-7540</v>
      </c>
      <c r="G15" t="s">
        <v>6</v>
      </c>
      <c r="H15" s="4">
        <f>-0.0875 * MIN(MAX(H12 - H14, 0), 37700)</f>
        <v>-3298.75</v>
      </c>
      <c r="I15" s="4">
        <f>-0.0875 * MIN(MAX(I12 - I14, 0), 37700)</f>
        <v>-3298.75</v>
      </c>
    </row>
    <row r="16" spans="1:9" x14ac:dyDescent="0.2">
      <c r="A16" t="s">
        <v>7</v>
      </c>
      <c r="B16" s="4">
        <f>-0.4 * MIN(MAX(B12 - B14 - 37700, 0), 87440)</f>
        <v>-30692</v>
      </c>
      <c r="C16" s="4">
        <f>-0.4 * MIN(MAX(C12 - C14 - 37700, 0), 87440)</f>
        <v>-30752</v>
      </c>
      <c r="D16" s="4">
        <f>-0.4 * MIN(MAX(D12 - D14 - 37700, 0), 87440)</f>
        <v>-21457.07826086957</v>
      </c>
      <c r="E16" s="4">
        <f>-0.4 * MIN(MAX(E12 - E14 - 37700, 0), 87440)</f>
        <v>-21509.060869565223</v>
      </c>
      <c r="G16" t="s">
        <v>7</v>
      </c>
      <c r="H16" s="4">
        <f>-0.3375 * MIN(MAX(H12 - H14 - 37700, 0), 87440)</f>
        <v>-12902.625</v>
      </c>
      <c r="I16" s="4">
        <f>-0.3375 * MIN(MAX(I12 - I14 - 37700, 0), 87440)</f>
        <v>-12927.9375</v>
      </c>
    </row>
    <row r="17" spans="1:9" x14ac:dyDescent="0.2">
      <c r="A17" t="s">
        <v>8</v>
      </c>
      <c r="B17" s="4">
        <f>0-0.45 * MAX(B12 - B14 - 37700 - 87440, 0)</f>
        <v>0</v>
      </c>
      <c r="C17" s="4">
        <f>0-0.45 * MAX(C12 - C14 - 37700 - 87440, 0)</f>
        <v>0</v>
      </c>
      <c r="D17" s="4">
        <f>0-0.45 * MAX(D12 - D14 - 37700 - 87440, 0)</f>
        <v>0</v>
      </c>
      <c r="E17" s="4">
        <f>0-0.45 * MAX(E12 - E14 - 37700 - 87440, 0)</f>
        <v>0</v>
      </c>
      <c r="G17" t="s">
        <v>8</v>
      </c>
      <c r="H17" s="4">
        <f>0-0.3935 * MAX(H12 - H14 - 37700 - 87440, 0)</f>
        <v>0</v>
      </c>
      <c r="I17" s="4">
        <f>0-0.3935 * MAX(I12 - I14 - 37700 - 87440, 0)</f>
        <v>0</v>
      </c>
    </row>
    <row r="18" spans="1:9" x14ac:dyDescent="0.2">
      <c r="A18" t="s">
        <v>9</v>
      </c>
      <c r="B18" s="4">
        <f>-(0.06 * MIN(MAX(B12 - 12570, 0), 50270 - 12570) + 0.02 * MAX(B12 - 50270, 0))</f>
        <v>-3616.6000000000004</v>
      </c>
      <c r="C18" s="4">
        <f>-(0.06 * MIN(MAX(C12 - 12570, 0), 50270 - 12570) + 0.02 * MAX(C12 - 50270, 0))</f>
        <v>-3618.6000000000004</v>
      </c>
      <c r="D18" s="4">
        <f>-(0.06 * MIN(MAX(D12 - 12570, 0), 50270 - 12570) + 0.02 * MAX(D12 - 50270, 0))</f>
        <v>-3308.7739130434784</v>
      </c>
      <c r="E18" s="4">
        <f>-(0.06 * MIN(MAX(E12 - 12570, 0), 50270 - 12570) + 0.02 * MAX(E12 - 50270, 0))</f>
        <v>-3310.5130434782614</v>
      </c>
      <c r="H18" s="4"/>
      <c r="I18" s="4"/>
    </row>
    <row r="19" spans="1:9" x14ac:dyDescent="0.2">
      <c r="B19" s="4"/>
      <c r="C19" s="4"/>
      <c r="D19" s="4"/>
      <c r="E19" s="4"/>
      <c r="H19" s="4"/>
      <c r="I19" s="4"/>
    </row>
    <row r="20" spans="1:9" x14ac:dyDescent="0.2">
      <c r="A20" t="s">
        <v>10</v>
      </c>
      <c r="B20" s="4">
        <f>B12+SUM(B15:B18)</f>
        <v>76151.399999999994</v>
      </c>
      <c r="C20" s="4">
        <f>C12+SUM(C15:C18)</f>
        <v>76189.399999999994</v>
      </c>
      <c r="D20" s="4">
        <f>D12+SUM(D15:D18)</f>
        <v>70302.843478260867</v>
      </c>
      <c r="E20" s="4">
        <f>E12+SUM(E15:E18)</f>
        <v>70336.078260869574</v>
      </c>
      <c r="G20" t="s">
        <v>10</v>
      </c>
      <c r="H20" s="4">
        <f>H12+SUM(H15:H18)</f>
        <v>72298.625</v>
      </c>
      <c r="I20" s="4">
        <f>I12+SUM(I15:I18)</f>
        <v>72348.3125</v>
      </c>
    </row>
    <row r="21" spans="1:9" x14ac:dyDescent="0.2">
      <c r="A21" t="s">
        <v>0</v>
      </c>
      <c r="B21" s="4">
        <f>SUM(B15:B18)+B11</f>
        <v>-41848.6</v>
      </c>
      <c r="C21" s="4">
        <f>SUM(C15:C18)+C11</f>
        <v>-41910.6</v>
      </c>
      <c r="D21" s="4">
        <f>SUM(D15:D18)+D11</f>
        <v>-47697.156521739133</v>
      </c>
      <c r="E21" s="4">
        <f>SUM(E15:E18)+E11</f>
        <v>-47763.921739130426</v>
      </c>
      <c r="G21" t="s">
        <v>0</v>
      </c>
      <c r="H21" s="4">
        <f>SUM(H15:H18)+H11</f>
        <v>-45701.375</v>
      </c>
      <c r="I21" s="4">
        <f>SUM(I15:I18)+I11</f>
        <v>-45751.6875</v>
      </c>
    </row>
    <row r="22" spans="1:9" x14ac:dyDescent="0.2">
      <c r="A22" t="s">
        <v>11</v>
      </c>
      <c r="B22" s="1">
        <f>-B21/B10</f>
        <v>0.35464915254237289</v>
      </c>
      <c r="C22" s="1">
        <f>-C21/C10</f>
        <v>0.35487383573243014</v>
      </c>
      <c r="D22" s="1">
        <f>-D21/D10</f>
        <v>0.40421319086219604</v>
      </c>
      <c r="E22" s="1">
        <f>-E21/E10</f>
        <v>0.4044362552000883</v>
      </c>
      <c r="G22" t="s">
        <v>11</v>
      </c>
      <c r="H22" s="1">
        <f>-H21/H10</f>
        <v>0.38729978813559324</v>
      </c>
      <c r="I22" s="1">
        <f>-I21/I10</f>
        <v>0.38739786198137172</v>
      </c>
    </row>
    <row r="23" spans="1:9" x14ac:dyDescent="0.2">
      <c r="A23" t="s">
        <v>12</v>
      </c>
      <c r="B23" s="5">
        <f>(B21-C21)/(C10-B10)</f>
        <v>0.62</v>
      </c>
      <c r="D23" s="5">
        <f>(D21-E21)/(E10-D10)</f>
        <v>0.66765217391293841</v>
      </c>
      <c r="G23" t="s">
        <v>12</v>
      </c>
      <c r="H23" s="5">
        <f>(H21-I21)/(I10-H10)</f>
        <v>0.50312500000000004</v>
      </c>
      <c r="I23" s="5"/>
    </row>
    <row r="24" spans="1:9" x14ac:dyDescent="0.2">
      <c r="A24" t="s">
        <v>22</v>
      </c>
      <c r="D24" s="8">
        <f>D20-B20</f>
        <v>-5848.5565217391268</v>
      </c>
      <c r="G24" t="s">
        <v>25</v>
      </c>
      <c r="H24" s="8">
        <f>H20-D20</f>
        <v>1995.7815217391326</v>
      </c>
    </row>
    <row r="27" spans="1:9" x14ac:dyDescent="0.2">
      <c r="A27" s="2" t="s">
        <v>15</v>
      </c>
    </row>
    <row r="29" spans="1:9" x14ac:dyDescent="0.2">
      <c r="B29" s="2" t="s">
        <v>1</v>
      </c>
      <c r="C29" s="2" t="s">
        <v>13</v>
      </c>
      <c r="D29" s="2" t="s">
        <v>2</v>
      </c>
      <c r="E29" s="2" t="s">
        <v>13</v>
      </c>
      <c r="G29" s="2" t="s">
        <v>23</v>
      </c>
    </row>
    <row r="30" spans="1:9" x14ac:dyDescent="0.2">
      <c r="A30" t="s">
        <v>3</v>
      </c>
      <c r="B30" s="7">
        <v>316000</v>
      </c>
      <c r="C30" s="4">
        <f>B30+100</f>
        <v>316100</v>
      </c>
      <c r="D30" s="4">
        <f>B30</f>
        <v>316000</v>
      </c>
      <c r="E30" s="4">
        <f>D30+100</f>
        <v>316100</v>
      </c>
      <c r="G30" t="s">
        <v>19</v>
      </c>
      <c r="H30" s="4">
        <f>B30</f>
        <v>316000</v>
      </c>
    </row>
    <row r="31" spans="1:9" x14ac:dyDescent="0.2">
      <c r="A31" t="s">
        <v>4</v>
      </c>
      <c r="B31" s="4"/>
      <c r="C31" s="4">
        <f>B31</f>
        <v>0</v>
      </c>
      <c r="D31" s="4">
        <f>-(D30-(D30/1.15))</f>
        <v>-41217.391304347781</v>
      </c>
      <c r="E31" s="4">
        <f>-(E30-(E30/1.15))</f>
        <v>-41230.434782608703</v>
      </c>
      <c r="G31" t="s">
        <v>20</v>
      </c>
      <c r="H31" s="4">
        <f>-H30*0.25</f>
        <v>-79000</v>
      </c>
    </row>
    <row r="32" spans="1:9" x14ac:dyDescent="0.2">
      <c r="A32" t="s">
        <v>5</v>
      </c>
      <c r="B32" s="4">
        <f>B30+B31</f>
        <v>316000</v>
      </c>
      <c r="C32" s="4">
        <f>C30+C31</f>
        <v>316100</v>
      </c>
      <c r="D32" s="4">
        <f>D30+D31</f>
        <v>274782.60869565222</v>
      </c>
      <c r="E32" s="4">
        <f>E30+E31</f>
        <v>274869.5652173913</v>
      </c>
      <c r="G32" t="s">
        <v>21</v>
      </c>
      <c r="H32" s="4">
        <f>H30+H31</f>
        <v>237000</v>
      </c>
    </row>
    <row r="33" spans="1:8" x14ac:dyDescent="0.2">
      <c r="B33" s="4"/>
      <c r="C33" s="4"/>
      <c r="D33" s="4"/>
      <c r="E33" s="4"/>
    </row>
    <row r="34" spans="1:8" x14ac:dyDescent="0.2">
      <c r="A34" t="s">
        <v>17</v>
      </c>
      <c r="B34" s="4">
        <f>MAX(0, 12570 - INT(MAX(0, B32 - 100000) / 2))</f>
        <v>0</v>
      </c>
      <c r="C34" s="4">
        <f>MAX(0, 12570 - INT(MAX(0, C32 - 100000) / 2))</f>
        <v>0</v>
      </c>
      <c r="D34" s="4">
        <f>MAX(0, 12570 - INT(MAX(0, D32 - 100000) / 2))</f>
        <v>0</v>
      </c>
      <c r="E34" s="4">
        <f>MAX(0, 12570 - INT(MAX(0, E32 - 100000) / 2))</f>
        <v>0</v>
      </c>
      <c r="G34" t="s">
        <v>17</v>
      </c>
      <c r="H34" s="4">
        <f>MAX(0, 12570 - INT(MAX(0, H32 - 100000) / 2))</f>
        <v>0</v>
      </c>
    </row>
    <row r="35" spans="1:8" x14ac:dyDescent="0.2">
      <c r="A35" t="s">
        <v>6</v>
      </c>
      <c r="B35" s="4">
        <f>-0.2 * MIN(MAX(B32 - B34, 0), 37700)</f>
        <v>-7540</v>
      </c>
      <c r="C35" s="4">
        <f>-0.2 * MIN(MAX(C32 - C34, 0), 37700)</f>
        <v>-7540</v>
      </c>
      <c r="D35" s="4">
        <f>-0.2 * MIN(MAX(D32 - D34, 0), 37700)</f>
        <v>-7540</v>
      </c>
      <c r="E35" s="4">
        <f>-0.2 * MIN(MAX(E32 - E34, 0), 37700)</f>
        <v>-7540</v>
      </c>
      <c r="G35" t="s">
        <v>6</v>
      </c>
      <c r="H35" s="4">
        <f>-0.0875 * MIN(MAX(H32 - H34, 0), 37700)</f>
        <v>-3298.75</v>
      </c>
    </row>
    <row r="36" spans="1:8" x14ac:dyDescent="0.2">
      <c r="A36" t="s">
        <v>7</v>
      </c>
      <c r="B36" s="4">
        <f>-0.4 * MIN(MAX(B32 - B34 - 37700, 0), 87440)</f>
        <v>-34976</v>
      </c>
      <c r="C36" s="4">
        <f>-0.4 * MIN(MAX(C32 - C34 - 37700, 0), 87440)</f>
        <v>-34976</v>
      </c>
      <c r="D36" s="4">
        <f>-0.4 * MIN(MAX(D32 - D34 - 37700, 0), 87440)</f>
        <v>-34976</v>
      </c>
      <c r="E36" s="4">
        <f>-0.4 * MIN(MAX(E32 - E34 - 37700, 0), 87440)</f>
        <v>-34976</v>
      </c>
      <c r="G36" t="s">
        <v>7</v>
      </c>
      <c r="H36" s="4">
        <f>-0.3375 * MIN(MAX(H32 - H34 - 37700, 0), 87440)</f>
        <v>-29511.000000000004</v>
      </c>
    </row>
    <row r="37" spans="1:8" x14ac:dyDescent="0.2">
      <c r="A37" t="s">
        <v>8</v>
      </c>
      <c r="B37" s="4">
        <f>0-0.45 * MAX(B32 - B34 - 37700 - 87440, 0)</f>
        <v>-85887</v>
      </c>
      <c r="C37" s="4">
        <f>0-0.45 * MAX(C32 - C34 - 37700 - 87440, 0)</f>
        <v>-85932</v>
      </c>
      <c r="D37" s="4">
        <f>0-0.45 * MAX(D32 - D34 - 37700 - 87440, 0)</f>
        <v>-67339.173913043502</v>
      </c>
      <c r="E37" s="4">
        <f>0-0.45 * MAX(E32 - E34 - 37700 - 87440, 0)</f>
        <v>-67378.304347826081</v>
      </c>
      <c r="G37" t="s">
        <v>8</v>
      </c>
      <c r="H37" s="4">
        <f>0-0.3935 * MAX(H32 - H34 - 37700 - 87440, 0)</f>
        <v>-44016.91</v>
      </c>
    </row>
    <row r="38" spans="1:8" x14ac:dyDescent="0.2">
      <c r="A38" t="s">
        <v>9</v>
      </c>
      <c r="B38" s="4">
        <f>-(0.06 * MIN(MAX(B32 - 12570, 0), 50270 - 12570) + 0.02 * MAX(B32 - 50270, 0))</f>
        <v>-7576.6</v>
      </c>
      <c r="C38" s="4">
        <f>-(0.06 * MIN(MAX(C32 - 12570, 0), 50270 - 12570) + 0.02 * MAX(C32 - 50270, 0))</f>
        <v>-7578.6</v>
      </c>
      <c r="D38" s="4">
        <f>-(0.06 * MIN(MAX(D32 - 12570, 0), 50270 - 12570) + 0.02 * MAX(D32 - 50270, 0))</f>
        <v>-6752.2521739130443</v>
      </c>
      <c r="E38" s="4">
        <f>-(0.06 * MIN(MAX(E32 - 12570, 0), 50270 - 12570) + 0.02 * MAX(E32 - 50270, 0))</f>
        <v>-6753.9913043478264</v>
      </c>
      <c r="H38" s="4"/>
    </row>
    <row r="39" spans="1:8" x14ac:dyDescent="0.2">
      <c r="B39" s="4"/>
      <c r="C39" s="4"/>
      <c r="D39" s="4"/>
      <c r="E39" s="4"/>
      <c r="H39" s="4"/>
    </row>
    <row r="40" spans="1:8" x14ac:dyDescent="0.2">
      <c r="A40" t="s">
        <v>10</v>
      </c>
      <c r="B40" s="4">
        <f>B32+SUM(B35:B38)</f>
        <v>180020.4</v>
      </c>
      <c r="C40" s="4">
        <f>C32+SUM(C35:C38)</f>
        <v>180073.4</v>
      </c>
      <c r="D40" s="4">
        <f>D32+SUM(D35:D38)</f>
        <v>158175.18260869567</v>
      </c>
      <c r="E40" s="4">
        <f>E32+SUM(E35:E38)</f>
        <v>158221.26956521737</v>
      </c>
      <c r="G40" t="s">
        <v>10</v>
      </c>
      <c r="H40" s="4">
        <f>H32+SUM(H35:H38)</f>
        <v>160173.34</v>
      </c>
    </row>
    <row r="41" spans="1:8" x14ac:dyDescent="0.2">
      <c r="A41" t="s">
        <v>0</v>
      </c>
      <c r="B41" s="4">
        <f>SUM(B35:B38)+B31</f>
        <v>-135979.6</v>
      </c>
      <c r="C41" s="4">
        <f>SUM(C35:C38)+C31</f>
        <v>-136026.6</v>
      </c>
      <c r="D41" s="4">
        <f>SUM(D35:D38)+D31</f>
        <v>-157824.81739130433</v>
      </c>
      <c r="E41" s="4">
        <f>SUM(E35:E38)+E31</f>
        <v>-157878.73043478263</v>
      </c>
      <c r="G41" t="s">
        <v>0</v>
      </c>
      <c r="H41" s="4">
        <f>SUM(H35:H38)+H31</f>
        <v>-155826.66</v>
      </c>
    </row>
    <row r="42" spans="1:8" x14ac:dyDescent="0.2">
      <c r="A42" t="s">
        <v>11</v>
      </c>
      <c r="B42" s="1">
        <f>-B41/B30</f>
        <v>0.43031518987341771</v>
      </c>
      <c r="C42" s="1">
        <f>-C41/C30</f>
        <v>0.4303277443846884</v>
      </c>
      <c r="D42" s="1">
        <f>-D41/D30</f>
        <v>0.49944562465602638</v>
      </c>
      <c r="E42" s="1">
        <f>-E41/E30</f>
        <v>0.49945817916729712</v>
      </c>
      <c r="G42" t="s">
        <v>11</v>
      </c>
      <c r="H42" s="1">
        <f>-H41/H30</f>
        <v>0.49312234177215192</v>
      </c>
    </row>
    <row r="43" spans="1:8" x14ac:dyDescent="0.2">
      <c r="A43" t="s">
        <v>12</v>
      </c>
      <c r="B43" s="5">
        <f>(B41-C41)/(C30-B30)</f>
        <v>0.47</v>
      </c>
      <c r="D43" s="5">
        <f>(D41-E41)/(E30-D30)</f>
        <v>0.53913043478300093</v>
      </c>
      <c r="G43" t="s">
        <v>12</v>
      </c>
      <c r="H43" s="5">
        <f>(H41-I41)/(I30-H30)</f>
        <v>0.49312234177215192</v>
      </c>
    </row>
    <row r="44" spans="1:8" x14ac:dyDescent="0.2">
      <c r="A44" t="s">
        <v>22</v>
      </c>
      <c r="D44" s="4">
        <f>D40-B40</f>
        <v>-21845.217391304323</v>
      </c>
      <c r="G44" t="s">
        <v>25</v>
      </c>
      <c r="H44" s="8">
        <f>H40-D40</f>
        <v>1998.1573913043248</v>
      </c>
    </row>
    <row r="47" spans="1:8" x14ac:dyDescent="0.2">
      <c r="A47" s="2" t="s">
        <v>16</v>
      </c>
    </row>
    <row r="49" spans="1:8" x14ac:dyDescent="0.2">
      <c r="B49" s="2" t="s">
        <v>1</v>
      </c>
      <c r="C49" s="2" t="s">
        <v>13</v>
      </c>
      <c r="D49" s="2" t="s">
        <v>2</v>
      </c>
      <c r="E49" s="2" t="s">
        <v>13</v>
      </c>
      <c r="G49" s="2" t="s">
        <v>23</v>
      </c>
    </row>
    <row r="50" spans="1:8" x14ac:dyDescent="0.2">
      <c r="A50" t="s">
        <v>3</v>
      </c>
      <c r="B50" s="7">
        <v>675000</v>
      </c>
      <c r="C50" s="4">
        <f>B50+100</f>
        <v>675100</v>
      </c>
      <c r="D50" s="4">
        <f>B50</f>
        <v>675000</v>
      </c>
      <c r="E50" s="4">
        <f>D50+100</f>
        <v>675100</v>
      </c>
      <c r="G50" t="s">
        <v>19</v>
      </c>
      <c r="H50" s="4">
        <f>B50</f>
        <v>675000</v>
      </c>
    </row>
    <row r="51" spans="1:8" x14ac:dyDescent="0.2">
      <c r="A51" t="s">
        <v>4</v>
      </c>
      <c r="B51" s="4"/>
      <c r="C51" s="4">
        <f>B51</f>
        <v>0</v>
      </c>
      <c r="D51" s="4">
        <f>-(D50-(D50/1.15))</f>
        <v>-88043.47826086951</v>
      </c>
      <c r="E51" s="4">
        <f>-(E50-(E50/1.15))</f>
        <v>-88056.521739130374</v>
      </c>
      <c r="G51" t="s">
        <v>20</v>
      </c>
      <c r="H51" s="4">
        <f>-H50*0.25</f>
        <v>-168750</v>
      </c>
    </row>
    <row r="52" spans="1:8" x14ac:dyDescent="0.2">
      <c r="A52" t="s">
        <v>5</v>
      </c>
      <c r="B52" s="4">
        <f>B50+B51</f>
        <v>675000</v>
      </c>
      <c r="C52" s="4">
        <f>C50+C51</f>
        <v>675100</v>
      </c>
      <c r="D52" s="4">
        <f>D50+D51</f>
        <v>586956.52173913049</v>
      </c>
      <c r="E52" s="4">
        <f>E50+E51</f>
        <v>587043.47826086963</v>
      </c>
      <c r="G52" t="s">
        <v>21</v>
      </c>
      <c r="H52" s="4">
        <f>H50+H51</f>
        <v>506250</v>
      </c>
    </row>
    <row r="53" spans="1:8" x14ac:dyDescent="0.2">
      <c r="B53" s="4"/>
      <c r="C53" s="4"/>
      <c r="D53" s="4"/>
      <c r="E53" s="4"/>
    </row>
    <row r="54" spans="1:8" x14ac:dyDescent="0.2">
      <c r="A54" t="s">
        <v>17</v>
      </c>
      <c r="B54" s="4">
        <f>MAX(0, 12570 - INT(MAX(0, B52 - 100000) / 2))</f>
        <v>0</v>
      </c>
      <c r="C54" s="4">
        <f>MAX(0, 12570 - INT(MAX(0, C52 - 100000) / 2))</f>
        <v>0</v>
      </c>
      <c r="D54" s="4">
        <f>MAX(0, 12570 - INT(MAX(0, D52 - 100000) / 2))</f>
        <v>0</v>
      </c>
      <c r="E54" s="4">
        <f>MAX(0, 12570 - INT(MAX(0, E52 - 100000) / 2))</f>
        <v>0</v>
      </c>
      <c r="G54" t="s">
        <v>17</v>
      </c>
      <c r="H54" s="4">
        <f>MAX(0, 12570 - INT(MAX(0, H52 - 100000) / 2))</f>
        <v>0</v>
      </c>
    </row>
    <row r="55" spans="1:8" x14ac:dyDescent="0.2">
      <c r="A55" t="s">
        <v>6</v>
      </c>
      <c r="B55" s="4">
        <f>-0.2 * MIN(MAX(B52 - B54, 0), 37700)</f>
        <v>-7540</v>
      </c>
      <c r="C55" s="4">
        <f>-0.2 * MIN(MAX(C52 - C54, 0), 37700)</f>
        <v>-7540</v>
      </c>
      <c r="D55" s="4">
        <f>-0.2 * MIN(MAX(D52 - D54, 0), 37700)</f>
        <v>-7540</v>
      </c>
      <c r="E55" s="4">
        <f>-0.2 * MIN(MAX(E52 - E54, 0), 37700)</f>
        <v>-7540</v>
      </c>
      <c r="G55" t="s">
        <v>6</v>
      </c>
      <c r="H55" s="4">
        <f>-0.0875 * MIN(MAX(H52 - H54, 0), 37700)</f>
        <v>-3298.75</v>
      </c>
    </row>
    <row r="56" spans="1:8" x14ac:dyDescent="0.2">
      <c r="A56" t="s">
        <v>7</v>
      </c>
      <c r="B56" s="4">
        <f>-0.4 * MIN(MAX(B52 - B54 - 37700, 0), 87440)</f>
        <v>-34976</v>
      </c>
      <c r="C56" s="4">
        <f>-0.4 * MIN(MAX(C52 - C54 - 37700, 0), 87440)</f>
        <v>-34976</v>
      </c>
      <c r="D56" s="4">
        <f>-0.4 * MIN(MAX(D52 - D54 - 37700, 0), 87440)</f>
        <v>-34976</v>
      </c>
      <c r="E56" s="4">
        <f>-0.4 * MIN(MAX(E52 - E54 - 37700, 0), 87440)</f>
        <v>-34976</v>
      </c>
      <c r="G56" t="s">
        <v>7</v>
      </c>
      <c r="H56" s="4">
        <f>-0.3375 * MIN(MAX(H52 - H54 - 37700, 0), 87440)</f>
        <v>-29511.000000000004</v>
      </c>
    </row>
    <row r="57" spans="1:8" x14ac:dyDescent="0.2">
      <c r="A57" t="s">
        <v>8</v>
      </c>
      <c r="B57" s="4">
        <f>0-0.45 * MAX(B52 - B54 - 37700 - 87440, 0)</f>
        <v>-247437</v>
      </c>
      <c r="C57" s="4">
        <f>0-0.45 * MAX(C52 - C54 - 37700 - 87440, 0)</f>
        <v>-247482</v>
      </c>
      <c r="D57" s="4">
        <f>0-0.45 * MAX(D52 - D54 - 37700 - 87440, 0)</f>
        <v>-207817.43478260873</v>
      </c>
      <c r="E57" s="4">
        <f>0-0.45 * MAX(E52 - E54 - 37700 - 87440, 0)</f>
        <v>-207856.56521739133</v>
      </c>
      <c r="G57" t="s">
        <v>8</v>
      </c>
      <c r="H57" s="4">
        <f>0-0.3935 * MAX(H52 - H54 - 37700 - 87440, 0)</f>
        <v>-149966.785</v>
      </c>
    </row>
    <row r="58" spans="1:8" x14ac:dyDescent="0.2">
      <c r="A58" t="s">
        <v>9</v>
      </c>
      <c r="B58" s="4">
        <f>-(0.06 * MIN(MAX(B52 - 12570, 0), 50270 - 12570) + 0.02 * MAX(B52 - 50270, 0))</f>
        <v>-14756.6</v>
      </c>
      <c r="C58" s="4">
        <f>-(0.06 * MIN(MAX(C52 - 12570, 0), 50270 - 12570) + 0.02 * MAX(C52 - 50270, 0))</f>
        <v>-14758.6</v>
      </c>
      <c r="D58" s="4">
        <f>-(0.06 * MIN(MAX(D52 - 12570, 0), 50270 - 12570) + 0.02 * MAX(D52 - 50270, 0))</f>
        <v>-12995.73043478261</v>
      </c>
      <c r="E58" s="4">
        <f>-(0.06 * MIN(MAX(E52 - 12570, 0), 50270 - 12570) + 0.02 * MAX(E52 - 50270, 0))</f>
        <v>-12997.469565217392</v>
      </c>
      <c r="H58" s="4"/>
    </row>
    <row r="59" spans="1:8" x14ac:dyDescent="0.2">
      <c r="B59" s="4"/>
      <c r="C59" s="4"/>
      <c r="D59" s="4"/>
      <c r="E59" s="4"/>
      <c r="H59" s="4"/>
    </row>
    <row r="60" spans="1:8" x14ac:dyDescent="0.2">
      <c r="A60" t="s">
        <v>10</v>
      </c>
      <c r="B60" s="4">
        <f>SUM(B52:B59)</f>
        <v>370290.4</v>
      </c>
      <c r="C60" s="4">
        <f>SUM(C52:C59)</f>
        <v>370343.4</v>
      </c>
      <c r="D60" s="4">
        <f>SUM(D52:D59)</f>
        <v>323627.3565217391</v>
      </c>
      <c r="E60" s="4">
        <f>SUM(E52:E59)</f>
        <v>323673.44347826089</v>
      </c>
      <c r="G60" t="s">
        <v>10</v>
      </c>
      <c r="H60" s="4">
        <f>H52+SUM(H55:H58)</f>
        <v>323473.46499999997</v>
      </c>
    </row>
    <row r="61" spans="1:8" x14ac:dyDescent="0.2">
      <c r="A61" t="s">
        <v>0</v>
      </c>
      <c r="B61" s="4">
        <f>SUM(B55:B58)+B51</f>
        <v>-304709.59999999998</v>
      </c>
      <c r="C61" s="4">
        <f>SUM(C55:C58)+C51</f>
        <v>-304756.59999999998</v>
      </c>
      <c r="D61" s="4">
        <f>SUM(D55:D58)+D51</f>
        <v>-351372.64347826084</v>
      </c>
      <c r="E61" s="4">
        <f>SUM(E55:E58)+E51</f>
        <v>-351426.55652173911</v>
      </c>
      <c r="G61" t="s">
        <v>0</v>
      </c>
      <c r="H61" s="4">
        <f>SUM(H55:H58)+H51</f>
        <v>-351526.53500000003</v>
      </c>
    </row>
    <row r="62" spans="1:8" x14ac:dyDescent="0.2">
      <c r="A62" t="s">
        <v>11</v>
      </c>
      <c r="B62" s="1">
        <f>-B61/B50</f>
        <v>0.45142162962962962</v>
      </c>
      <c r="C62" s="1">
        <f>-C61/C50</f>
        <v>0.45142438157310022</v>
      </c>
      <c r="D62" s="1">
        <f>-D61/D50</f>
        <v>0.52055206441223834</v>
      </c>
      <c r="E62" s="1">
        <f>-E61/E50</f>
        <v>0.52055481635570899</v>
      </c>
      <c r="G62" t="s">
        <v>11</v>
      </c>
      <c r="H62" s="1">
        <f>-H61/H50</f>
        <v>0.52078005185185194</v>
      </c>
    </row>
    <row r="63" spans="1:8" x14ac:dyDescent="0.2">
      <c r="A63" t="s">
        <v>12</v>
      </c>
      <c r="B63" s="5">
        <f>(B61-C61)/(C50-B50)</f>
        <v>0.47</v>
      </c>
      <c r="D63" s="5">
        <f>(D61-E61)/(E50-D50)</f>
        <v>0.53913043478270994</v>
      </c>
      <c r="G63" t="s">
        <v>12</v>
      </c>
      <c r="H63" s="5">
        <f>(H61-I61)/(I50-H50)</f>
        <v>0.52078005185185194</v>
      </c>
    </row>
    <row r="64" spans="1:8" x14ac:dyDescent="0.2">
      <c r="A64" t="s">
        <v>22</v>
      </c>
      <c r="D64" s="4">
        <f>D60-B60</f>
        <v>-46663.043478260923</v>
      </c>
      <c r="G64" t="s">
        <v>25</v>
      </c>
      <c r="H64" s="8">
        <f>H60-D60</f>
        <v>-153.89152173913317</v>
      </c>
    </row>
    <row r="68" spans="1:8" x14ac:dyDescent="0.2">
      <c r="A68" s="2" t="s">
        <v>28</v>
      </c>
    </row>
    <row r="70" spans="1:8" x14ac:dyDescent="0.2">
      <c r="B70" s="2" t="s">
        <v>1</v>
      </c>
      <c r="C70" s="2" t="s">
        <v>13</v>
      </c>
      <c r="D70" s="2" t="s">
        <v>2</v>
      </c>
      <c r="E70" s="2" t="s">
        <v>13</v>
      </c>
      <c r="G70" s="2" t="s">
        <v>23</v>
      </c>
    </row>
    <row r="71" spans="1:8" x14ac:dyDescent="0.2">
      <c r="A71" t="s">
        <v>3</v>
      </c>
      <c r="B71" s="7">
        <v>2000000</v>
      </c>
      <c r="C71" s="4">
        <f>B71+100</f>
        <v>2000100</v>
      </c>
      <c r="D71" s="4">
        <f>B71</f>
        <v>2000000</v>
      </c>
      <c r="E71" s="4">
        <f>D71+100</f>
        <v>2000100</v>
      </c>
      <c r="G71" t="s">
        <v>19</v>
      </c>
      <c r="H71" s="4">
        <f>B71</f>
        <v>2000000</v>
      </c>
    </row>
    <row r="72" spans="1:8" x14ac:dyDescent="0.2">
      <c r="A72" t="s">
        <v>4</v>
      </c>
      <c r="B72" s="4"/>
      <c r="C72" s="4">
        <f>B72</f>
        <v>0</v>
      </c>
      <c r="D72" s="4">
        <f>-(D71-(D71/1.15))</f>
        <v>-260869.56521739112</v>
      </c>
      <c r="E72" s="4">
        <f>-(E71-(E71/1.15))</f>
        <v>-260882.6086956521</v>
      </c>
      <c r="G72" t="s">
        <v>20</v>
      </c>
      <c r="H72" s="4">
        <f>-H71*0.25</f>
        <v>-500000</v>
      </c>
    </row>
    <row r="73" spans="1:8" x14ac:dyDescent="0.2">
      <c r="A73" t="s">
        <v>5</v>
      </c>
      <c r="B73" s="4">
        <f>B71+B72</f>
        <v>2000000</v>
      </c>
      <c r="C73" s="4">
        <f>C71+C72</f>
        <v>2000100</v>
      </c>
      <c r="D73" s="4">
        <f>D71+D72</f>
        <v>1739130.4347826089</v>
      </c>
      <c r="E73" s="4">
        <f>E71+E72</f>
        <v>1739217.3913043479</v>
      </c>
      <c r="G73" t="s">
        <v>21</v>
      </c>
      <c r="H73" s="4">
        <f>H71+H72</f>
        <v>1500000</v>
      </c>
    </row>
    <row r="74" spans="1:8" x14ac:dyDescent="0.2">
      <c r="B74" s="4"/>
      <c r="C74" s="4"/>
      <c r="D74" s="4"/>
      <c r="E74" s="4"/>
    </row>
    <row r="75" spans="1:8" x14ac:dyDescent="0.2">
      <c r="A75" t="s">
        <v>17</v>
      </c>
      <c r="B75" s="4">
        <f>MAX(0, 12570 - INT(MAX(0, B73 - 100000) / 2))</f>
        <v>0</v>
      </c>
      <c r="C75" s="4">
        <f>MAX(0, 12570 - INT(MAX(0, C73 - 100000) / 2))</f>
        <v>0</v>
      </c>
      <c r="D75" s="4">
        <f>MAX(0, 12570 - INT(MAX(0, D73 - 100000) / 2))</f>
        <v>0</v>
      </c>
      <c r="E75" s="4">
        <f>MAX(0, 12570 - INT(MAX(0, E73 - 100000) / 2))</f>
        <v>0</v>
      </c>
      <c r="G75" t="s">
        <v>17</v>
      </c>
      <c r="H75" s="4">
        <f>MAX(0, 12570 - INT(MAX(0, H73 - 100000) / 2))</f>
        <v>0</v>
      </c>
    </row>
    <row r="76" spans="1:8" x14ac:dyDescent="0.2">
      <c r="A76" t="s">
        <v>6</v>
      </c>
      <c r="B76" s="4">
        <f>-0.2 * MIN(MAX(B73 - B75, 0), 37700)</f>
        <v>-7540</v>
      </c>
      <c r="C76" s="4">
        <f>-0.2 * MIN(MAX(C73 - C75, 0), 37700)</f>
        <v>-7540</v>
      </c>
      <c r="D76" s="4">
        <f>-0.2 * MIN(MAX(D73 - D75, 0), 37700)</f>
        <v>-7540</v>
      </c>
      <c r="E76" s="4">
        <f>-0.2 * MIN(MAX(E73 - E75, 0), 37700)</f>
        <v>-7540</v>
      </c>
      <c r="G76" t="s">
        <v>6</v>
      </c>
      <c r="H76" s="4">
        <f>-0.0875 * MIN(MAX(H73 - H75, 0), 37700)</f>
        <v>-3298.75</v>
      </c>
    </row>
    <row r="77" spans="1:8" x14ac:dyDescent="0.2">
      <c r="A77" t="s">
        <v>7</v>
      </c>
      <c r="B77" s="4">
        <f>-0.4 * MIN(MAX(B73 - B75 - 37700, 0), 87440)</f>
        <v>-34976</v>
      </c>
      <c r="C77" s="4">
        <f>-0.4 * MIN(MAX(C73 - C75 - 37700, 0), 87440)</f>
        <v>-34976</v>
      </c>
      <c r="D77" s="4">
        <f>-0.4 * MIN(MAX(D73 - D75 - 37700, 0), 87440)</f>
        <v>-34976</v>
      </c>
      <c r="E77" s="4">
        <f>-0.4 * MIN(MAX(E73 - E75 - 37700, 0), 87440)</f>
        <v>-34976</v>
      </c>
      <c r="G77" t="s">
        <v>7</v>
      </c>
      <c r="H77" s="4">
        <f>-0.3375 * MIN(MAX(H73 - H75 - 37700, 0), 87440)</f>
        <v>-29511.000000000004</v>
      </c>
    </row>
    <row r="78" spans="1:8" x14ac:dyDescent="0.2">
      <c r="A78" t="s">
        <v>8</v>
      </c>
      <c r="B78" s="4">
        <f>0-0.45 * MAX(B73 - B75 - 37700 - 87440, 0)</f>
        <v>-843687</v>
      </c>
      <c r="C78" s="4">
        <f>0-0.45 * MAX(C73 - C75 - 37700 - 87440, 0)</f>
        <v>-843732</v>
      </c>
      <c r="D78" s="4">
        <f>0-0.45 * MAX(D73 - D75 - 37700 - 87440, 0)</f>
        <v>-726295.69565217406</v>
      </c>
      <c r="E78" s="4">
        <f>0-0.45 * MAX(E73 - E75 - 37700 - 87440, 0)</f>
        <v>-726334.82608695654</v>
      </c>
      <c r="G78" t="s">
        <v>8</v>
      </c>
      <c r="H78" s="4">
        <f>0-0.3935 * MAX(H73 - H75 - 37700 - 87440, 0)</f>
        <v>-541007.41</v>
      </c>
    </row>
    <row r="79" spans="1:8" x14ac:dyDescent="0.2">
      <c r="A79" t="s">
        <v>9</v>
      </c>
      <c r="B79" s="4">
        <f>-(0.06 * MIN(MAX(B73 - 12570, 0), 50270 - 12570) + 0.02 * MAX(B73 - 50270, 0))</f>
        <v>-41256.6</v>
      </c>
      <c r="C79" s="4">
        <f>-(0.06 * MIN(MAX(C73 - 12570, 0), 50270 - 12570) + 0.02 * MAX(C73 - 50270, 0))</f>
        <v>-41258.6</v>
      </c>
      <c r="D79" s="4">
        <f>-(0.06 * MIN(MAX(D73 - 12570, 0), 50270 - 12570) + 0.02 * MAX(D73 - 50270, 0))</f>
        <v>-36039.208695652182</v>
      </c>
      <c r="E79" s="4">
        <f>-(0.06 * MIN(MAX(E73 - 12570, 0), 50270 - 12570) + 0.02 * MAX(E73 - 50270, 0))</f>
        <v>-36040.947826086958</v>
      </c>
      <c r="H79" s="4"/>
    </row>
    <row r="80" spans="1:8" x14ac:dyDescent="0.2">
      <c r="B80" s="4"/>
      <c r="C80" s="4"/>
      <c r="D80" s="4"/>
      <c r="E80" s="4"/>
      <c r="H80" s="4"/>
    </row>
    <row r="81" spans="1:8" x14ac:dyDescent="0.2">
      <c r="A81" t="s">
        <v>10</v>
      </c>
      <c r="B81" s="4">
        <f>SUM(B73:B80)</f>
        <v>1072540.3999999999</v>
      </c>
      <c r="C81" s="4">
        <f>SUM(C73:C80)</f>
        <v>1072593.3999999999</v>
      </c>
      <c r="D81" s="4">
        <f>SUM(D73:D80)</f>
        <v>934279.53043478262</v>
      </c>
      <c r="E81" s="4">
        <f>SUM(E73:E80)</f>
        <v>934325.61739130435</v>
      </c>
      <c r="G81" t="s">
        <v>10</v>
      </c>
      <c r="H81" s="4">
        <f>H73+SUM(H76:H79)</f>
        <v>926182.84</v>
      </c>
    </row>
    <row r="82" spans="1:8" x14ac:dyDescent="0.2">
      <c r="A82" t="s">
        <v>0</v>
      </c>
      <c r="B82" s="4">
        <f>SUM(B76:B79)+B72</f>
        <v>-927459.6</v>
      </c>
      <c r="C82" s="4">
        <f>SUM(C76:C79)+C72</f>
        <v>-927506.6</v>
      </c>
      <c r="D82" s="4">
        <f>SUM(D76:D79)+D72</f>
        <v>-1065720.4695652174</v>
      </c>
      <c r="E82" s="4">
        <f>SUM(E76:E79)+E72</f>
        <v>-1065774.3826086957</v>
      </c>
      <c r="G82" t="s">
        <v>0</v>
      </c>
      <c r="H82" s="4">
        <f>SUM(H76:H79)+H72</f>
        <v>-1073817.1600000001</v>
      </c>
    </row>
    <row r="83" spans="1:8" x14ac:dyDescent="0.2">
      <c r="A83" t="s">
        <v>11</v>
      </c>
      <c r="B83" s="1">
        <f>-B82/B71</f>
        <v>0.46372979999999997</v>
      </c>
      <c r="C83" s="1">
        <f>-C82/C71</f>
        <v>0.46373011349432525</v>
      </c>
      <c r="D83" s="1">
        <f>-D82/D71</f>
        <v>0.53286023478260869</v>
      </c>
      <c r="E83" s="1">
        <f>-E82/E71</f>
        <v>0.53286054827693397</v>
      </c>
      <c r="G83" t="s">
        <v>11</v>
      </c>
      <c r="H83" s="1">
        <f>-H82/H71</f>
        <v>0.53690858000000008</v>
      </c>
    </row>
    <row r="84" spans="1:8" x14ac:dyDescent="0.2">
      <c r="A84" t="s">
        <v>12</v>
      </c>
      <c r="B84" s="5">
        <f>(B82-C82)/(C71-B71)</f>
        <v>0.47</v>
      </c>
      <c r="D84" s="5">
        <f>(D82-E82)/(E71-D71)</f>
        <v>0.53913043478270994</v>
      </c>
      <c r="G84" t="s">
        <v>12</v>
      </c>
      <c r="H84" s="5">
        <f>(H82-I82)/(I71-H71)</f>
        <v>0.53690858000000008</v>
      </c>
    </row>
    <row r="85" spans="1:8" x14ac:dyDescent="0.2">
      <c r="A85" t="s">
        <v>22</v>
      </c>
      <c r="D85" s="4">
        <f>D81-B81</f>
        <v>-138260.86956521729</v>
      </c>
      <c r="G85" t="s">
        <v>25</v>
      </c>
      <c r="H85" s="8">
        <f>H81-D81</f>
        <v>-8096.6904347826494</v>
      </c>
    </row>
    <row r="88" spans="1:8" x14ac:dyDescent="0.2">
      <c r="A88" s="2" t="s">
        <v>24</v>
      </c>
    </row>
    <row r="90" spans="1:8" x14ac:dyDescent="0.2">
      <c r="B90" s="2" t="s">
        <v>1</v>
      </c>
      <c r="C90" s="2" t="s">
        <v>13</v>
      </c>
      <c r="D90" s="2" t="s">
        <v>2</v>
      </c>
      <c r="E90" s="2" t="s">
        <v>13</v>
      </c>
      <c r="G90" s="2" t="s">
        <v>23</v>
      </c>
    </row>
    <row r="91" spans="1:8" x14ac:dyDescent="0.2">
      <c r="A91" t="s">
        <v>3</v>
      </c>
      <c r="B91" s="7">
        <v>6000000</v>
      </c>
      <c r="C91" s="4">
        <f>B91+100</f>
        <v>6000100</v>
      </c>
      <c r="D91" s="4">
        <f>B91</f>
        <v>6000000</v>
      </c>
      <c r="E91" s="4">
        <f>D91+100</f>
        <v>6000100</v>
      </c>
      <c r="G91" t="s">
        <v>19</v>
      </c>
      <c r="H91" s="4">
        <f>B91</f>
        <v>6000000</v>
      </c>
    </row>
    <row r="92" spans="1:8" x14ac:dyDescent="0.2">
      <c r="A92" t="s">
        <v>4</v>
      </c>
      <c r="B92" s="4"/>
      <c r="C92" s="4">
        <f>B92</f>
        <v>0</v>
      </c>
      <c r="D92" s="4">
        <f>-(D91-(D91/1.15))</f>
        <v>-782608.69565217383</v>
      </c>
      <c r="E92" s="4">
        <f>-(E91-(E91/1.15))</f>
        <v>-782621.73913043458</v>
      </c>
      <c r="G92" t="s">
        <v>20</v>
      </c>
      <c r="H92" s="4">
        <f>-H91*0.25</f>
        <v>-1500000</v>
      </c>
    </row>
    <row r="93" spans="1:8" x14ac:dyDescent="0.2">
      <c r="A93" t="s">
        <v>5</v>
      </c>
      <c r="B93" s="4">
        <f>B91+B92</f>
        <v>6000000</v>
      </c>
      <c r="C93" s="4">
        <f>C91+C92</f>
        <v>6000100</v>
      </c>
      <c r="D93" s="4">
        <f>D91+D92</f>
        <v>5217391.3043478262</v>
      </c>
      <c r="E93" s="4">
        <f>E91+E92</f>
        <v>5217478.2608695654</v>
      </c>
      <c r="G93" t="s">
        <v>21</v>
      </c>
      <c r="H93" s="4">
        <f>H91+H92</f>
        <v>4500000</v>
      </c>
    </row>
    <row r="94" spans="1:8" x14ac:dyDescent="0.2">
      <c r="B94" s="4"/>
      <c r="C94" s="4"/>
      <c r="D94" s="4"/>
      <c r="E94" s="4"/>
    </row>
    <row r="95" spans="1:8" x14ac:dyDescent="0.2">
      <c r="A95" t="s">
        <v>17</v>
      </c>
      <c r="B95" s="4">
        <f>MAX(0, 12570 - INT(MAX(0, B93 - 100000) / 2))</f>
        <v>0</v>
      </c>
      <c r="C95" s="4">
        <f>MAX(0, 12570 - INT(MAX(0, C93 - 100000) / 2))</f>
        <v>0</v>
      </c>
      <c r="D95" s="4">
        <f>MAX(0, 12570 - INT(MAX(0, D93 - 100000) / 2))</f>
        <v>0</v>
      </c>
      <c r="E95" s="4">
        <f>MAX(0, 12570 - INT(MAX(0, E93 - 100000) / 2))</f>
        <v>0</v>
      </c>
      <c r="G95" t="s">
        <v>17</v>
      </c>
      <c r="H95" s="4">
        <f>MAX(0, 12570 - INT(MAX(0, H93 - 100000) / 2))</f>
        <v>0</v>
      </c>
    </row>
    <row r="96" spans="1:8" x14ac:dyDescent="0.2">
      <c r="A96" t="s">
        <v>6</v>
      </c>
      <c r="B96" s="4">
        <f>-0.2 * MIN(MAX(B93 - B95, 0), 37700)</f>
        <v>-7540</v>
      </c>
      <c r="C96" s="4">
        <f>-0.2 * MIN(MAX(C93 - C95, 0), 37700)</f>
        <v>-7540</v>
      </c>
      <c r="D96" s="4">
        <f>-0.2 * MIN(MAX(D93 - D95, 0), 37700)</f>
        <v>-7540</v>
      </c>
      <c r="E96" s="4">
        <f>-0.2 * MIN(MAX(E93 - E95, 0), 37700)</f>
        <v>-7540</v>
      </c>
      <c r="G96" t="s">
        <v>6</v>
      </c>
      <c r="H96" s="4">
        <f>-0.0875 * MIN(MAX(H93 - H95, 0), 37700)</f>
        <v>-3298.75</v>
      </c>
    </row>
    <row r="97" spans="1:8" x14ac:dyDescent="0.2">
      <c r="A97" t="s">
        <v>7</v>
      </c>
      <c r="B97" s="4">
        <f>-0.4 * MIN(MAX(B93 - B95 - 37700, 0), 87440)</f>
        <v>-34976</v>
      </c>
      <c r="C97" s="4">
        <f>-0.4 * MIN(MAX(C93 - C95 - 37700, 0), 87440)</f>
        <v>-34976</v>
      </c>
      <c r="D97" s="4">
        <f>-0.4 * MIN(MAX(D93 - D95 - 37700, 0), 87440)</f>
        <v>-34976</v>
      </c>
      <c r="E97" s="4">
        <f>-0.4 * MIN(MAX(E93 - E95 - 37700, 0), 87440)</f>
        <v>-34976</v>
      </c>
      <c r="G97" t="s">
        <v>7</v>
      </c>
      <c r="H97" s="4">
        <f>-0.3375 * MIN(MAX(H93 - H95 - 37700, 0), 87440)</f>
        <v>-29511.000000000004</v>
      </c>
    </row>
    <row r="98" spans="1:8" x14ac:dyDescent="0.2">
      <c r="A98" t="s">
        <v>8</v>
      </c>
      <c r="B98" s="4">
        <f>0-0.45 * MAX(B93 - B95 - 37700 - 87440, 0)</f>
        <v>-2643687</v>
      </c>
      <c r="C98" s="4">
        <f>0-0.45 * MAX(C93 - C95 - 37700 - 87440, 0)</f>
        <v>-2643732</v>
      </c>
      <c r="D98" s="4">
        <f>0-0.45 * MAX(D93 - D95 - 37700 - 87440, 0)</f>
        <v>-2291513.086956522</v>
      </c>
      <c r="E98" s="4">
        <f>0-0.45 * MAX(E93 - E95 - 37700 - 87440, 0)</f>
        <v>-2291552.2173913047</v>
      </c>
      <c r="G98" t="s">
        <v>8</v>
      </c>
      <c r="H98" s="4">
        <f>0-0.3935 * MAX(H93 - H95 - 37700 - 87440, 0)</f>
        <v>-1721507.4100000001</v>
      </c>
    </row>
    <row r="99" spans="1:8" x14ac:dyDescent="0.2">
      <c r="A99" t="s">
        <v>9</v>
      </c>
      <c r="B99" s="4">
        <f>-(0.06 * MIN(MAX(B93 - 12570, 0), 50270 - 12570) + 0.02 * MAX(B93 - 50270, 0))</f>
        <v>-121256.6</v>
      </c>
      <c r="C99" s="4">
        <f>-(0.06 * MIN(MAX(C93 - 12570, 0), 50270 - 12570) + 0.02 * MAX(C93 - 50270, 0))</f>
        <v>-121258.6</v>
      </c>
      <c r="D99" s="4">
        <f>-(0.06 * MIN(MAX(D93 - 12570, 0), 50270 - 12570) + 0.02 * MAX(D93 - 50270, 0))</f>
        <v>-105604.42608695652</v>
      </c>
      <c r="E99" s="4">
        <f>-(0.06 * MIN(MAX(E93 - 12570, 0), 50270 - 12570) + 0.02 * MAX(E93 - 50270, 0))</f>
        <v>-105606.16521739132</v>
      </c>
      <c r="H99" s="4"/>
    </row>
    <row r="100" spans="1:8" x14ac:dyDescent="0.2">
      <c r="B100" s="4"/>
      <c r="C100" s="4"/>
      <c r="D100" s="4"/>
      <c r="E100" s="4"/>
      <c r="H100" s="4"/>
    </row>
    <row r="101" spans="1:8" x14ac:dyDescent="0.2">
      <c r="A101" t="s">
        <v>10</v>
      </c>
      <c r="B101" s="4">
        <f>SUM(B93:B100)</f>
        <v>3192540.4</v>
      </c>
      <c r="C101" s="4">
        <f>SUM(C93:C100)</f>
        <v>3192593.4</v>
      </c>
      <c r="D101" s="4">
        <f>SUM(D93:D100)</f>
        <v>2777757.7913043476</v>
      </c>
      <c r="E101" s="4">
        <f>SUM(E93:E100)</f>
        <v>2777803.8782608695</v>
      </c>
      <c r="G101" t="s">
        <v>10</v>
      </c>
      <c r="H101" s="4">
        <f>H93+SUM(H96:H99)</f>
        <v>2745682.84</v>
      </c>
    </row>
    <row r="102" spans="1:8" x14ac:dyDescent="0.2">
      <c r="A102" t="s">
        <v>0</v>
      </c>
      <c r="B102" s="4">
        <f>SUM(B96:B99)+B92</f>
        <v>-2807459.6</v>
      </c>
      <c r="C102" s="4">
        <f>SUM(C96:C99)+C92</f>
        <v>-2807506.6</v>
      </c>
      <c r="D102" s="4">
        <f>SUM(D96:D99)+D92</f>
        <v>-3222242.2086956524</v>
      </c>
      <c r="E102" s="4">
        <f>SUM(E96:E99)+E92</f>
        <v>-3222296.1217391305</v>
      </c>
      <c r="G102" t="s">
        <v>0</v>
      </c>
      <c r="H102" s="4">
        <f>SUM(H96:H99)+H92</f>
        <v>-3254317.16</v>
      </c>
    </row>
    <row r="103" spans="1:8" x14ac:dyDescent="0.2">
      <c r="A103" t="s">
        <v>11</v>
      </c>
      <c r="B103" s="1">
        <f>-B102/B91</f>
        <v>0.46790993333333336</v>
      </c>
      <c r="C103" s="1">
        <f>-C102/C91</f>
        <v>0.46790996816719721</v>
      </c>
      <c r="D103" s="1">
        <f>-D102/D91</f>
        <v>0.53704036811594202</v>
      </c>
      <c r="E103" s="1">
        <f>-E102/E91</f>
        <v>0.53704040294980593</v>
      </c>
      <c r="G103" t="s">
        <v>11</v>
      </c>
      <c r="H103" s="1">
        <f>-H102/H91</f>
        <v>0.54238619333333338</v>
      </c>
    </row>
    <row r="104" spans="1:8" x14ac:dyDescent="0.2">
      <c r="A104" t="s">
        <v>12</v>
      </c>
      <c r="B104" s="5">
        <f>(B102-C102)/(C91-B91)</f>
        <v>0.47</v>
      </c>
      <c r="D104" s="5">
        <f>(D102-E102)/(E91-D91)</f>
        <v>0.53913043478038158</v>
      </c>
      <c r="G104" t="s">
        <v>12</v>
      </c>
      <c r="H104" s="5">
        <f>(H102-I102)/(I91-H91)</f>
        <v>0.54238619333333338</v>
      </c>
    </row>
    <row r="105" spans="1:8" x14ac:dyDescent="0.2">
      <c r="A105" t="s">
        <v>22</v>
      </c>
      <c r="D105" s="4">
        <f>D101-B101</f>
        <v>-414782.60869565234</v>
      </c>
      <c r="G105" t="s">
        <v>25</v>
      </c>
      <c r="H105" s="8">
        <f>H101-D101</f>
        <v>-32074.95130434772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887D-1089-BC44-B53D-8515D87068ED}">
  <dimension ref="A1:I22"/>
  <sheetViews>
    <sheetView tabSelected="1" zoomScale="130" zoomScaleNormal="130" workbookViewId="0">
      <selection activeCell="J7" sqref="J7"/>
    </sheetView>
  </sheetViews>
  <sheetFormatPr baseColWidth="10" defaultRowHeight="16" x14ac:dyDescent="0.2"/>
  <cols>
    <col min="2" max="2" width="28.83203125" customWidth="1"/>
    <col min="3" max="3" width="20.83203125" customWidth="1"/>
    <col min="4" max="4" width="13.33203125" customWidth="1"/>
  </cols>
  <sheetData>
    <row r="1" spans="1:9" x14ac:dyDescent="0.2">
      <c r="B1" s="2" t="s">
        <v>56</v>
      </c>
    </row>
    <row r="3" spans="1:9" x14ac:dyDescent="0.2">
      <c r="B3" t="s">
        <v>53</v>
      </c>
      <c r="C3" s="3">
        <v>118000</v>
      </c>
    </row>
    <row r="6" spans="1:9" x14ac:dyDescent="0.2">
      <c r="A6" s="2" t="s">
        <v>29</v>
      </c>
      <c r="B6" s="2" t="s">
        <v>30</v>
      </c>
      <c r="C6" s="2" t="s">
        <v>31</v>
      </c>
      <c r="D6" s="2" t="s">
        <v>32</v>
      </c>
      <c r="E6" s="2" t="s">
        <v>52</v>
      </c>
      <c r="F6" s="2" t="s">
        <v>61</v>
      </c>
      <c r="G6" s="2" t="s">
        <v>60</v>
      </c>
      <c r="H6" s="2" t="s">
        <v>54</v>
      </c>
      <c r="I6" s="2" t="s">
        <v>55</v>
      </c>
    </row>
    <row r="7" spans="1:9" x14ac:dyDescent="0.2">
      <c r="A7" s="10">
        <v>1</v>
      </c>
      <c r="B7" t="s">
        <v>33</v>
      </c>
      <c r="C7" s="6">
        <v>7.2</v>
      </c>
      <c r="D7" s="6" t="s">
        <v>34</v>
      </c>
      <c r="E7" s="11">
        <f>C7*1000000000/D7</f>
        <v>22784.810126582277</v>
      </c>
      <c r="F7" s="13">
        <f>MAX(0,C7-$C$3*E7/1000000000)</f>
        <v>4.5113924050632921</v>
      </c>
      <c r="G7" s="6">
        <f>(F7-(F7/1.15))</f>
        <v>0.58844248761695095</v>
      </c>
      <c r="H7" s="6">
        <f>-G7*0.47</f>
        <v>-0.27656796917996695</v>
      </c>
      <c r="I7" s="6">
        <f>H7+G7</f>
        <v>0.31187451843698399</v>
      </c>
    </row>
    <row r="8" spans="1:9" x14ac:dyDescent="0.2">
      <c r="A8" s="10">
        <v>2</v>
      </c>
      <c r="B8" t="s">
        <v>35</v>
      </c>
      <c r="C8" s="6">
        <v>6.7</v>
      </c>
      <c r="D8" s="6" t="s">
        <v>36</v>
      </c>
      <c r="E8" s="11">
        <f t="shared" ref="E8:E16" si="0">C8*1000000000/D8</f>
        <v>9925.9259259259252</v>
      </c>
      <c r="F8" s="13">
        <f t="shared" ref="F8:F16" si="1">MAX(0,C8-$C$3*E8/1000000000)</f>
        <v>5.5287407407407407</v>
      </c>
      <c r="G8" s="6">
        <f t="shared" ref="G8:G16" si="2">(F8-(F8/1.15))</f>
        <v>0.72114009661835698</v>
      </c>
      <c r="H8" s="6">
        <f t="shared" ref="H8:H16" si="3">-G8*0.47</f>
        <v>-0.33893584541062777</v>
      </c>
      <c r="I8" s="6">
        <f t="shared" ref="I8:I16" si="4">H8+G8</f>
        <v>0.38220425120772922</v>
      </c>
    </row>
    <row r="9" spans="1:9" x14ac:dyDescent="0.2">
      <c r="A9" s="10">
        <v>3</v>
      </c>
      <c r="B9" t="s">
        <v>37</v>
      </c>
      <c r="C9" s="6">
        <v>3.6</v>
      </c>
      <c r="D9" s="6" t="s">
        <v>38</v>
      </c>
      <c r="E9" s="11">
        <f t="shared" si="0"/>
        <v>30508.474576271186</v>
      </c>
      <c r="F9" s="13">
        <f t="shared" si="1"/>
        <v>0</v>
      </c>
      <c r="G9" s="6">
        <f t="shared" si="2"/>
        <v>0</v>
      </c>
      <c r="H9" s="6">
        <f t="shared" si="3"/>
        <v>0</v>
      </c>
      <c r="I9" s="6">
        <f t="shared" si="4"/>
        <v>0</v>
      </c>
    </row>
    <row r="10" spans="1:9" x14ac:dyDescent="0.2">
      <c r="A10" s="10">
        <v>4</v>
      </c>
      <c r="B10" t="s">
        <v>39</v>
      </c>
      <c r="C10" s="6">
        <v>3.3</v>
      </c>
      <c r="D10" s="6" t="s">
        <v>40</v>
      </c>
      <c r="E10" s="11">
        <f t="shared" si="0"/>
        <v>13414.634146341463</v>
      </c>
      <c r="F10" s="13">
        <f t="shared" si="1"/>
        <v>1.7170731707317071</v>
      </c>
      <c r="G10" s="6">
        <f t="shared" si="2"/>
        <v>0.22396606574761391</v>
      </c>
      <c r="H10" s="6">
        <f t="shared" si="3"/>
        <v>-0.10526405090137853</v>
      </c>
      <c r="I10" s="6">
        <f t="shared" si="4"/>
        <v>0.11870201484623538</v>
      </c>
    </row>
    <row r="11" spans="1:9" x14ac:dyDescent="0.2">
      <c r="A11" s="10">
        <v>5</v>
      </c>
      <c r="B11" t="s">
        <v>41</v>
      </c>
      <c r="C11" s="6">
        <v>1.6</v>
      </c>
      <c r="D11" s="6" t="s">
        <v>42</v>
      </c>
      <c r="E11" s="11">
        <f t="shared" si="0"/>
        <v>3212.8514056224899</v>
      </c>
      <c r="F11" s="13">
        <f t="shared" si="1"/>
        <v>1.2208835341365463</v>
      </c>
      <c r="G11" s="6">
        <f t="shared" si="2"/>
        <v>0.15924567836563641</v>
      </c>
      <c r="H11" s="6">
        <f t="shared" si="3"/>
        <v>-7.4845468831849116E-2</v>
      </c>
      <c r="I11" s="6">
        <f t="shared" si="4"/>
        <v>8.4400209533787296E-2</v>
      </c>
    </row>
    <row r="12" spans="1:9" x14ac:dyDescent="0.2">
      <c r="A12" s="10">
        <v>6</v>
      </c>
      <c r="B12" t="s">
        <v>43</v>
      </c>
      <c r="C12" s="6">
        <v>1.6</v>
      </c>
      <c r="D12" s="6" t="s">
        <v>44</v>
      </c>
      <c r="E12" s="11">
        <f t="shared" si="0"/>
        <v>100000</v>
      </c>
      <c r="F12" s="13">
        <f t="shared" si="1"/>
        <v>0</v>
      </c>
      <c r="G12" s="6">
        <f t="shared" si="2"/>
        <v>0</v>
      </c>
      <c r="H12" s="6">
        <f t="shared" si="3"/>
        <v>0</v>
      </c>
      <c r="I12" s="6">
        <f t="shared" si="4"/>
        <v>0</v>
      </c>
    </row>
    <row r="13" spans="1:9" x14ac:dyDescent="0.2">
      <c r="A13" s="10">
        <v>7</v>
      </c>
      <c r="B13" t="s">
        <v>45</v>
      </c>
      <c r="C13" s="6">
        <v>1</v>
      </c>
      <c r="D13" s="6" t="s">
        <v>46</v>
      </c>
      <c r="E13" s="11">
        <f t="shared" si="0"/>
        <v>8196.7213114754104</v>
      </c>
      <c r="F13" s="13">
        <f t="shared" si="1"/>
        <v>3.2786885245901565E-2</v>
      </c>
      <c r="G13" s="6">
        <f t="shared" si="2"/>
        <v>4.2765502494654176E-3</v>
      </c>
      <c r="H13" s="6">
        <f t="shared" si="3"/>
        <v>-2.009978617248746E-3</v>
      </c>
      <c r="I13" s="6">
        <f t="shared" si="4"/>
        <v>2.2665716322166716E-3</v>
      </c>
    </row>
    <row r="14" spans="1:9" x14ac:dyDescent="0.2">
      <c r="A14" s="10">
        <v>8</v>
      </c>
      <c r="B14" t="s">
        <v>47</v>
      </c>
      <c r="C14" s="6">
        <v>0.5</v>
      </c>
      <c r="D14" s="6" t="s">
        <v>48</v>
      </c>
      <c r="E14" s="11">
        <f t="shared" si="0"/>
        <v>821.01806239737277</v>
      </c>
      <c r="F14" s="13">
        <f t="shared" si="1"/>
        <v>0.40311986863711002</v>
      </c>
      <c r="G14" s="6">
        <f t="shared" si="2"/>
        <v>5.2580852430927361E-2</v>
      </c>
      <c r="H14" s="6">
        <f t="shared" si="3"/>
        <v>-2.4713000642535857E-2</v>
      </c>
      <c r="I14" s="6">
        <f t="shared" si="4"/>
        <v>2.7867851788391504E-2</v>
      </c>
    </row>
    <row r="15" spans="1:9" x14ac:dyDescent="0.2">
      <c r="A15" s="10">
        <v>9</v>
      </c>
      <c r="B15" t="s">
        <v>49</v>
      </c>
      <c r="C15" s="6">
        <v>0.5</v>
      </c>
      <c r="D15" s="6" t="s">
        <v>50</v>
      </c>
      <c r="E15" s="11">
        <f t="shared" si="0"/>
        <v>5102.0408163265311</v>
      </c>
      <c r="F15" s="13">
        <f t="shared" si="1"/>
        <v>0</v>
      </c>
      <c r="G15" s="6">
        <f t="shared" si="2"/>
        <v>0</v>
      </c>
      <c r="H15" s="6">
        <f t="shared" si="3"/>
        <v>0</v>
      </c>
      <c r="I15" s="6">
        <f t="shared" si="4"/>
        <v>0</v>
      </c>
    </row>
    <row r="16" spans="1:9" x14ac:dyDescent="0.2">
      <c r="A16" s="10">
        <v>10</v>
      </c>
      <c r="B16" t="s">
        <v>51</v>
      </c>
      <c r="C16" s="6">
        <v>0.4</v>
      </c>
      <c r="D16" s="6" t="s">
        <v>50</v>
      </c>
      <c r="E16" s="11">
        <f t="shared" si="0"/>
        <v>4081.6326530612246</v>
      </c>
      <c r="F16" s="13">
        <f t="shared" si="1"/>
        <v>0</v>
      </c>
      <c r="G16" s="6">
        <f t="shared" si="2"/>
        <v>0</v>
      </c>
      <c r="H16" s="6">
        <f t="shared" si="3"/>
        <v>0</v>
      </c>
      <c r="I16" s="6">
        <f t="shared" si="4"/>
        <v>0</v>
      </c>
    </row>
    <row r="17" spans="2:9" x14ac:dyDescent="0.2">
      <c r="I17" s="12">
        <f>SUM(I7:I16)</f>
        <v>0.92731541744534407</v>
      </c>
    </row>
    <row r="19" spans="2:9" x14ac:dyDescent="0.2">
      <c r="D19" s="6"/>
      <c r="E19" s="6"/>
      <c r="F19" s="6"/>
      <c r="G19" s="6"/>
    </row>
    <row r="20" spans="2:9" x14ac:dyDescent="0.2">
      <c r="B20" t="s">
        <v>57</v>
      </c>
    </row>
    <row r="21" spans="2:9" x14ac:dyDescent="0.2">
      <c r="B21" t="s">
        <v>59</v>
      </c>
    </row>
    <row r="22" spans="2:9" x14ac:dyDescent="0.2">
      <c r="B2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estimates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Neidle</dc:creator>
  <cp:lastModifiedBy>Dan Neidle</cp:lastModifiedBy>
  <dcterms:created xsi:type="dcterms:W3CDTF">2025-10-21T18:37:47Z</dcterms:created>
  <dcterms:modified xsi:type="dcterms:W3CDTF">2025-10-22T09:14:25Z</dcterms:modified>
</cp:coreProperties>
</file>