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dan/Dan/tax policy associates/"/>
    </mc:Choice>
  </mc:AlternateContent>
  <xr:revisionPtr revIDLastSave="0" documentId="13_ncr:1_{A5907DB8-BEB8-DD4D-B181-BCBCAED46A13}" xr6:coauthVersionLast="47" xr6:coauthVersionMax="47" xr10:uidLastSave="{00000000-0000-0000-0000-000000000000}"/>
  <bookViews>
    <workbookView xWindow="3260" yWindow="2260" windowWidth="28040" windowHeight="17180" xr2:uid="{C49CF3B2-D866-C342-9D2C-74B7A303E528}"/>
  </bookViews>
  <sheets>
    <sheet name="Examples" sheetId="1" r:id="rId1"/>
    <sheet name="2018-19 estimates" sheetId="5" r:id="rId2"/>
    <sheet name="2020-21 estimates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9" i="6" l="1"/>
  <c r="D49" i="6" s="1"/>
  <c r="E49" i="6" s="1"/>
  <c r="B49" i="6"/>
  <c r="C48" i="6"/>
  <c r="D48" i="6" s="1"/>
  <c r="E48" i="6" s="1"/>
  <c r="B48" i="6"/>
  <c r="C47" i="6"/>
  <c r="D47" i="6" s="1"/>
  <c r="E47" i="6" s="1"/>
  <c r="B47" i="6"/>
  <c r="C46" i="6"/>
  <c r="D46" i="6" s="1"/>
  <c r="E46" i="6" s="1"/>
  <c r="B46" i="6"/>
  <c r="C45" i="6"/>
  <c r="D45" i="6" s="1"/>
  <c r="E45" i="6" s="1"/>
  <c r="B45" i="6"/>
  <c r="C44" i="6"/>
  <c r="D44" i="6" s="1"/>
  <c r="E44" i="6" s="1"/>
  <c r="B44" i="6"/>
  <c r="C43" i="6"/>
  <c r="D43" i="6" s="1"/>
  <c r="E43" i="6" s="1"/>
  <c r="B43" i="6"/>
  <c r="C42" i="6"/>
  <c r="D42" i="6" s="1"/>
  <c r="E42" i="6" s="1"/>
  <c r="B42" i="6"/>
  <c r="C41" i="6"/>
  <c r="D41" i="6" s="1"/>
  <c r="E41" i="6" s="1"/>
  <c r="B41" i="6"/>
  <c r="C40" i="6"/>
  <c r="D40" i="6" s="1"/>
  <c r="E40" i="6" s="1"/>
  <c r="B40" i="6"/>
  <c r="C39" i="6"/>
  <c r="D39" i="6" s="1"/>
  <c r="E39" i="6" s="1"/>
  <c r="B39" i="6"/>
  <c r="C38" i="6"/>
  <c r="D38" i="6" s="1"/>
  <c r="E38" i="6" s="1"/>
  <c r="B38" i="6"/>
  <c r="C37" i="6"/>
  <c r="D37" i="6" s="1"/>
  <c r="E37" i="6" s="1"/>
  <c r="B37" i="6"/>
  <c r="C36" i="6"/>
  <c r="D36" i="6" s="1"/>
  <c r="E36" i="6" s="1"/>
  <c r="B36" i="6"/>
  <c r="C35" i="6"/>
  <c r="D35" i="6" s="1"/>
  <c r="E35" i="6" s="1"/>
  <c r="B35" i="6"/>
  <c r="D34" i="6"/>
  <c r="E34" i="6" s="1"/>
  <c r="C34" i="6"/>
  <c r="B34" i="6"/>
  <c r="C33" i="6"/>
  <c r="D33" i="6" s="1"/>
  <c r="E33" i="6" s="1"/>
  <c r="B33" i="6"/>
  <c r="D32" i="6"/>
  <c r="E32" i="6" s="1"/>
  <c r="C32" i="6"/>
  <c r="B32" i="6"/>
  <c r="C31" i="6"/>
  <c r="D31" i="6" s="1"/>
  <c r="E31" i="6" s="1"/>
  <c r="B31" i="6"/>
  <c r="D30" i="6"/>
  <c r="E30" i="6" s="1"/>
  <c r="C30" i="6"/>
  <c r="B30" i="6"/>
  <c r="C29" i="6"/>
  <c r="D29" i="6" s="1"/>
  <c r="E29" i="6" s="1"/>
  <c r="B29" i="6"/>
  <c r="C28" i="6"/>
  <c r="D28" i="6" s="1"/>
  <c r="E28" i="6" s="1"/>
  <c r="B28" i="6"/>
  <c r="C27" i="6"/>
  <c r="D27" i="6" s="1"/>
  <c r="E27" i="6" s="1"/>
  <c r="B27" i="6"/>
  <c r="D26" i="6"/>
  <c r="E26" i="6" s="1"/>
  <c r="C26" i="6"/>
  <c r="B26" i="6"/>
  <c r="C25" i="6"/>
  <c r="D25" i="6" s="1"/>
  <c r="E25" i="6" s="1"/>
  <c r="B25" i="6"/>
  <c r="D24" i="6"/>
  <c r="E24" i="6" s="1"/>
  <c r="C24" i="6"/>
  <c r="B24" i="6"/>
  <c r="C23" i="6"/>
  <c r="D23" i="6" s="1"/>
  <c r="E23" i="6" s="1"/>
  <c r="B23" i="6"/>
  <c r="D22" i="6"/>
  <c r="E22" i="6" s="1"/>
  <c r="C22" i="6"/>
  <c r="B22" i="6"/>
  <c r="C21" i="6"/>
  <c r="D21" i="6" s="1"/>
  <c r="E21" i="6" s="1"/>
  <c r="B21" i="6"/>
  <c r="C20" i="6"/>
  <c r="D20" i="6" s="1"/>
  <c r="E20" i="6" s="1"/>
  <c r="B20" i="6"/>
  <c r="E14" i="6"/>
  <c r="F14" i="6" s="1"/>
  <c r="H14" i="6" s="1"/>
  <c r="E13" i="6"/>
  <c r="F13" i="6" s="1"/>
  <c r="E12" i="6"/>
  <c r="F12" i="6" s="1"/>
  <c r="E11" i="6"/>
  <c r="F11" i="6" s="1"/>
  <c r="H11" i="6" s="1"/>
  <c r="E10" i="6"/>
  <c r="F10" i="6" s="1"/>
  <c r="H10" i="6" s="1"/>
  <c r="E9" i="6"/>
  <c r="F9" i="6" s="1"/>
  <c r="H9" i="6" s="1"/>
  <c r="E8" i="6"/>
  <c r="F8" i="6" s="1"/>
  <c r="H7" i="6"/>
  <c r="E7" i="6"/>
  <c r="F7" i="6" s="1"/>
  <c r="C49" i="5"/>
  <c r="D49" i="5" s="1"/>
  <c r="E49" i="5" s="1"/>
  <c r="B49" i="5"/>
  <c r="C48" i="5"/>
  <c r="D48" i="5" s="1"/>
  <c r="E48" i="5" s="1"/>
  <c r="B48" i="5"/>
  <c r="C47" i="5"/>
  <c r="D47" i="5" s="1"/>
  <c r="E47" i="5" s="1"/>
  <c r="B47" i="5"/>
  <c r="C46" i="5"/>
  <c r="D46" i="5" s="1"/>
  <c r="E46" i="5" s="1"/>
  <c r="B46" i="5"/>
  <c r="C45" i="5"/>
  <c r="D45" i="5" s="1"/>
  <c r="E45" i="5" s="1"/>
  <c r="B45" i="5"/>
  <c r="C44" i="5"/>
  <c r="D44" i="5" s="1"/>
  <c r="E44" i="5" s="1"/>
  <c r="B44" i="5"/>
  <c r="C43" i="5"/>
  <c r="D43" i="5" s="1"/>
  <c r="E43" i="5" s="1"/>
  <c r="B43" i="5"/>
  <c r="C42" i="5"/>
  <c r="D42" i="5" s="1"/>
  <c r="E42" i="5" s="1"/>
  <c r="B42" i="5"/>
  <c r="C41" i="5"/>
  <c r="D41" i="5" s="1"/>
  <c r="E41" i="5" s="1"/>
  <c r="B41" i="5"/>
  <c r="C40" i="5"/>
  <c r="D40" i="5" s="1"/>
  <c r="E40" i="5" s="1"/>
  <c r="B40" i="5"/>
  <c r="C39" i="5"/>
  <c r="D39" i="5" s="1"/>
  <c r="E39" i="5" s="1"/>
  <c r="B39" i="5"/>
  <c r="C38" i="5"/>
  <c r="D38" i="5" s="1"/>
  <c r="E38" i="5" s="1"/>
  <c r="B38" i="5"/>
  <c r="C37" i="5"/>
  <c r="D37" i="5" s="1"/>
  <c r="E37" i="5" s="1"/>
  <c r="B37" i="5"/>
  <c r="C36" i="5"/>
  <c r="D36" i="5" s="1"/>
  <c r="E36" i="5" s="1"/>
  <c r="B36" i="5"/>
  <c r="C35" i="5"/>
  <c r="D35" i="5" s="1"/>
  <c r="E35" i="5" s="1"/>
  <c r="B35" i="5"/>
  <c r="C34" i="5"/>
  <c r="D34" i="5" s="1"/>
  <c r="E34" i="5" s="1"/>
  <c r="B34" i="5"/>
  <c r="C33" i="5"/>
  <c r="D33" i="5" s="1"/>
  <c r="E33" i="5" s="1"/>
  <c r="B33" i="5"/>
  <c r="C32" i="5"/>
  <c r="D32" i="5" s="1"/>
  <c r="E32" i="5" s="1"/>
  <c r="B32" i="5"/>
  <c r="C31" i="5"/>
  <c r="D31" i="5" s="1"/>
  <c r="E31" i="5" s="1"/>
  <c r="B31" i="5"/>
  <c r="C30" i="5"/>
  <c r="D30" i="5" s="1"/>
  <c r="E30" i="5" s="1"/>
  <c r="B30" i="5"/>
  <c r="C29" i="5"/>
  <c r="D29" i="5" s="1"/>
  <c r="E29" i="5" s="1"/>
  <c r="B29" i="5"/>
  <c r="C28" i="5"/>
  <c r="D28" i="5" s="1"/>
  <c r="E28" i="5" s="1"/>
  <c r="B28" i="5"/>
  <c r="C27" i="5"/>
  <c r="D27" i="5" s="1"/>
  <c r="E27" i="5" s="1"/>
  <c r="B27" i="5"/>
  <c r="C26" i="5"/>
  <c r="D26" i="5" s="1"/>
  <c r="E26" i="5" s="1"/>
  <c r="B26" i="5"/>
  <c r="C25" i="5"/>
  <c r="D25" i="5" s="1"/>
  <c r="E25" i="5" s="1"/>
  <c r="B25" i="5"/>
  <c r="C24" i="5"/>
  <c r="D24" i="5" s="1"/>
  <c r="E24" i="5" s="1"/>
  <c r="B24" i="5"/>
  <c r="C23" i="5"/>
  <c r="D23" i="5" s="1"/>
  <c r="E23" i="5" s="1"/>
  <c r="B23" i="5"/>
  <c r="C22" i="5"/>
  <c r="D22" i="5" s="1"/>
  <c r="E22" i="5" s="1"/>
  <c r="B22" i="5"/>
  <c r="C21" i="5"/>
  <c r="D21" i="5" s="1"/>
  <c r="E21" i="5" s="1"/>
  <c r="B21" i="5"/>
  <c r="C20" i="5"/>
  <c r="D20" i="5" s="1"/>
  <c r="E20" i="5" s="1"/>
  <c r="B20" i="5"/>
  <c r="E14" i="5"/>
  <c r="F14" i="5" s="1"/>
  <c r="E13" i="5"/>
  <c r="F13" i="5" s="1"/>
  <c r="E12" i="5"/>
  <c r="F12" i="5" s="1"/>
  <c r="E11" i="5"/>
  <c r="F11" i="5" s="1"/>
  <c r="E10" i="5"/>
  <c r="F10" i="5" s="1"/>
  <c r="E9" i="5"/>
  <c r="F9" i="5" s="1"/>
  <c r="E8" i="5"/>
  <c r="F8" i="5" s="1"/>
  <c r="H7" i="5"/>
  <c r="E7" i="5"/>
  <c r="F7" i="5" s="1"/>
  <c r="B8" i="1"/>
  <c r="G18" i="1"/>
  <c r="G19" i="1" s="1"/>
  <c r="E18" i="1"/>
  <c r="E19" i="1" s="1"/>
  <c r="D18" i="1"/>
  <c r="D19" i="1" s="1"/>
  <c r="B18" i="1"/>
  <c r="B19" i="1" s="1"/>
  <c r="H13" i="6" l="1"/>
  <c r="I10" i="6"/>
  <c r="F45" i="6" a="1"/>
  <c r="F45" i="6" s="1"/>
  <c r="G45" i="6" s="1"/>
  <c r="F41" i="6" a="1"/>
  <c r="F41" i="6" s="1"/>
  <c r="G41" i="6" s="1"/>
  <c r="I14" i="6"/>
  <c r="F49" i="6" a="1"/>
  <c r="F49" i="6" s="1"/>
  <c r="G49" i="6" s="1"/>
  <c r="F47" i="6" a="1"/>
  <c r="F47" i="6" s="1"/>
  <c r="G47" i="6" s="1"/>
  <c r="F43" i="6" a="1"/>
  <c r="F43" i="6" s="1"/>
  <c r="G43" i="6" s="1"/>
  <c r="I13" i="6"/>
  <c r="F33" i="6" s="1" a="1"/>
  <c r="F33" i="6" s="1"/>
  <c r="G33" i="6" s="1"/>
  <c r="F48" i="6" a="1"/>
  <c r="F48" i="6" s="1"/>
  <c r="G48" i="6" s="1"/>
  <c r="F46" i="6" a="1"/>
  <c r="F46" i="6" s="1"/>
  <c r="G46" i="6" s="1"/>
  <c r="F44" i="6" a="1"/>
  <c r="F44" i="6" s="1"/>
  <c r="G44" i="6" s="1"/>
  <c r="F42" i="6" a="1"/>
  <c r="F42" i="6" s="1"/>
  <c r="G42" i="6" s="1"/>
  <c r="G12" i="6"/>
  <c r="G9" i="6"/>
  <c r="G14" i="6"/>
  <c r="G11" i="6"/>
  <c r="G8" i="6"/>
  <c r="G13" i="6"/>
  <c r="G10" i="6"/>
  <c r="G7" i="6"/>
  <c r="H12" i="6"/>
  <c r="I8" i="6"/>
  <c r="I9" i="6"/>
  <c r="F22" i="6" s="1" a="1"/>
  <c r="F22" i="6" s="1"/>
  <c r="G22" i="6" s="1"/>
  <c r="F23" i="6" a="1"/>
  <c r="F23" i="6" s="1"/>
  <c r="G23" i="6" s="1"/>
  <c r="F37" i="6" a="1"/>
  <c r="F37" i="6" s="1"/>
  <c r="G37" i="6" s="1"/>
  <c r="F32" i="6" a="1"/>
  <c r="F32" i="6" s="1"/>
  <c r="G32" i="6" s="1"/>
  <c r="F38" i="6" a="1"/>
  <c r="F38" i="6" s="1"/>
  <c r="G38" i="6" s="1"/>
  <c r="I12" i="6"/>
  <c r="H8" i="6"/>
  <c r="H13" i="5"/>
  <c r="H9" i="5"/>
  <c r="H10" i="5"/>
  <c r="I9" i="5" s="1"/>
  <c r="F22" i="5" s="1" a="1"/>
  <c r="F22" i="5" s="1"/>
  <c r="G22" i="5" s="1"/>
  <c r="H14" i="5"/>
  <c r="F41" i="5" s="1" a="1"/>
  <c r="F41" i="5" s="1"/>
  <c r="G41" i="5" s="1"/>
  <c r="H11" i="5"/>
  <c r="H8" i="5"/>
  <c r="I7" i="5" s="1"/>
  <c r="F20" i="5" s="1" a="1"/>
  <c r="F20" i="5" s="1"/>
  <c r="G20" i="5" s="1"/>
  <c r="H20" i="5" s="1"/>
  <c r="I8" i="5"/>
  <c r="F46" i="5" a="1"/>
  <c r="F46" i="5" s="1"/>
  <c r="G46" i="5" s="1"/>
  <c r="F47" i="5" a="1"/>
  <c r="F47" i="5" s="1"/>
  <c r="G47" i="5" s="1"/>
  <c r="I10" i="5"/>
  <c r="F23" i="5" s="1" a="1"/>
  <c r="F23" i="5" s="1"/>
  <c r="G23" i="5" s="1"/>
  <c r="I12" i="5"/>
  <c r="G12" i="5"/>
  <c r="G9" i="5"/>
  <c r="G11" i="5"/>
  <c r="G8" i="5"/>
  <c r="G14" i="5"/>
  <c r="G13" i="5"/>
  <c r="G10" i="5"/>
  <c r="G7" i="5"/>
  <c r="H12" i="5"/>
  <c r="F43" i="5" l="1" a="1"/>
  <c r="F43" i="5" s="1"/>
  <c r="G43" i="5" s="1"/>
  <c r="F48" i="5" a="1"/>
  <c r="F48" i="5" s="1"/>
  <c r="G48" i="5" s="1"/>
  <c r="I13" i="5"/>
  <c r="F40" i="5" s="1" a="1"/>
  <c r="F40" i="5" s="1"/>
  <c r="G40" i="5" s="1"/>
  <c r="F40" i="6" a="1"/>
  <c r="F40" i="6" s="1"/>
  <c r="G40" i="6" s="1"/>
  <c r="F39" i="5" a="1"/>
  <c r="F39" i="5" s="1"/>
  <c r="G39" i="5" s="1"/>
  <c r="F32" i="5" a="1"/>
  <c r="F32" i="5" s="1"/>
  <c r="G32" i="5" s="1"/>
  <c r="F44" i="5" a="1"/>
  <c r="F44" i="5" s="1"/>
  <c r="G44" i="5" s="1"/>
  <c r="I14" i="5"/>
  <c r="F35" i="5" a="1"/>
  <c r="F35" i="5" s="1"/>
  <c r="G35" i="5" s="1"/>
  <c r="F37" i="5" a="1"/>
  <c r="F37" i="5" s="1"/>
  <c r="G37" i="5" s="1"/>
  <c r="F38" i="5" a="1"/>
  <c r="F38" i="5" s="1"/>
  <c r="G38" i="5" s="1"/>
  <c r="F34" i="5" a="1"/>
  <c r="F34" i="5" s="1"/>
  <c r="G34" i="5" s="1"/>
  <c r="F45" i="5" a="1"/>
  <c r="F45" i="5" s="1"/>
  <c r="G45" i="5" s="1"/>
  <c r="F49" i="5" a="1"/>
  <c r="F49" i="5" s="1"/>
  <c r="G49" i="5" s="1"/>
  <c r="F42" i="5" a="1"/>
  <c r="F42" i="5" s="1"/>
  <c r="G42" i="5" s="1"/>
  <c r="F36" i="6" a="1"/>
  <c r="F36" i="6" s="1"/>
  <c r="G36" i="6" s="1"/>
  <c r="F21" i="6" a="1"/>
  <c r="F21" i="6" s="1"/>
  <c r="G21" i="6" s="1"/>
  <c r="I7" i="6"/>
  <c r="F20" i="6" s="1" a="1"/>
  <c r="F20" i="6" s="1"/>
  <c r="G20" i="6" s="1"/>
  <c r="F29" i="6" a="1"/>
  <c r="F29" i="6" s="1"/>
  <c r="G29" i="6" s="1"/>
  <c r="I11" i="6"/>
  <c r="F28" i="6" a="1"/>
  <c r="F28" i="6" s="1"/>
  <c r="G28" i="6" s="1"/>
  <c r="F26" i="6" a="1"/>
  <c r="F26" i="6" s="1"/>
  <c r="G26" i="6" s="1"/>
  <c r="F30" i="6" a="1"/>
  <c r="F30" i="6" s="1"/>
  <c r="G30" i="6" s="1"/>
  <c r="F27" i="6" a="1"/>
  <c r="F27" i="6" s="1"/>
  <c r="G27" i="6" s="1"/>
  <c r="F31" i="6" a="1"/>
  <c r="F31" i="6" s="1"/>
  <c r="G31" i="6" s="1"/>
  <c r="F35" i="6" a="1"/>
  <c r="F35" i="6" s="1"/>
  <c r="G35" i="6" s="1"/>
  <c r="F34" i="6" a="1"/>
  <c r="F34" i="6" s="1"/>
  <c r="G34" i="6" s="1"/>
  <c r="F39" i="6" a="1"/>
  <c r="F39" i="6" s="1"/>
  <c r="G39" i="6" s="1"/>
  <c r="F36" i="5" a="1"/>
  <c r="F36" i="5" s="1"/>
  <c r="G36" i="5" s="1"/>
  <c r="F31" i="5" a="1"/>
  <c r="F31" i="5" s="1"/>
  <c r="G31" i="5" s="1"/>
  <c r="F21" i="5" a="1"/>
  <c r="F21" i="5" s="1"/>
  <c r="G21" i="5" s="1"/>
  <c r="F33" i="5" a="1"/>
  <c r="F33" i="5" s="1"/>
  <c r="G33" i="5" s="1"/>
  <c r="F29" i="5" a="1"/>
  <c r="F29" i="5" s="1"/>
  <c r="G29" i="5" s="1"/>
  <c r="F26" i="5" a="1"/>
  <c r="F26" i="5" s="1"/>
  <c r="G26" i="5" s="1"/>
  <c r="F27" i="5" a="1"/>
  <c r="F27" i="5" s="1"/>
  <c r="G27" i="5" s="1"/>
  <c r="F30" i="5" a="1"/>
  <c r="F30" i="5" s="1"/>
  <c r="G30" i="5" s="1"/>
  <c r="I11" i="5"/>
  <c r="F28" i="5" a="1"/>
  <c r="F28" i="5" s="1"/>
  <c r="G28" i="5" s="1"/>
  <c r="G52" i="5" l="1"/>
  <c r="H21" i="5"/>
  <c r="H22" i="5" s="1"/>
  <c r="H23" i="5" s="1"/>
  <c r="G52" i="6"/>
  <c r="F25" i="6" a="1"/>
  <c r="F25" i="6" s="1"/>
  <c r="G25" i="6" s="1"/>
  <c r="F24" i="6" a="1"/>
  <c r="F24" i="6" s="1"/>
  <c r="G24" i="6" s="1"/>
  <c r="F25" i="5" a="1"/>
  <c r="F25" i="5" s="1"/>
  <c r="G25" i="5" s="1"/>
  <c r="F24" i="5" a="1"/>
  <c r="F24" i="5" s="1"/>
  <c r="G24" i="5" s="1"/>
  <c r="G51" i="5" s="1"/>
  <c r="H24" i="5" l="1"/>
  <c r="H25" i="5" s="1"/>
  <c r="H26" i="5" s="1"/>
  <c r="H27" i="5" s="1"/>
  <c r="H28" i="5" s="1"/>
  <c r="H29" i="5" s="1"/>
  <c r="H30" i="5" s="1"/>
  <c r="H31" i="5" s="1"/>
  <c r="H32" i="5" s="1"/>
  <c r="H33" i="5" s="1"/>
  <c r="H34" i="5" s="1"/>
  <c r="H35" i="5" s="1"/>
  <c r="H36" i="5" s="1"/>
  <c r="H37" i="5" s="1"/>
  <c r="H38" i="5" s="1"/>
  <c r="H39" i="5" s="1"/>
  <c r="H40" i="5" s="1"/>
  <c r="H41" i="5" s="1"/>
  <c r="H42" i="5" s="1"/>
  <c r="H43" i="5" s="1"/>
  <c r="H44" i="5" s="1"/>
  <c r="H45" i="5" s="1"/>
  <c r="H46" i="5" s="1"/>
  <c r="H47" i="5" s="1"/>
  <c r="H48" i="5" s="1"/>
  <c r="H49" i="5" s="1"/>
  <c r="G51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<sst xmlns="http://schemas.openxmlformats.org/spreadsheetml/2006/main" count="91" uniqueCount="59">
  <si>
    <t>NPV</t>
  </si>
  <si>
    <t>Stamp duty</t>
  </si>
  <si>
    <t>Eight students in an HMO</t>
  </si>
  <si>
    <t>Kensington flat</t>
  </si>
  <si>
    <t>SDLT standard discount rate</t>
  </si>
  <si>
    <t>Average English new tenancy</t>
  </si>
  <si>
    <t>Average London</t>
  </si>
  <si>
    <t>anniversary when triggered</t>
  </si>
  <si>
    <t>Example SDLT NPV calculations</t>
  </si>
  <si>
    <t>less than 1 year</t>
  </si>
  <si>
    <t>monthly rent</t>
  </si>
  <si>
    <t>SDLT threshold</t>
  </si>
  <si>
    <t>English median rent</t>
  </si>
  <si>
    <t>English mean rent</t>
  </si>
  <si>
    <t>Number of private renters</t>
  </si>
  <si>
    <t>Source</t>
  </si>
  <si>
    <t>Inputs</t>
  </si>
  <si>
    <t>https://www.ons.gov.uk/economy/inflationandpriceindices/bulletins/privaterentandhousepricesuk/january2026#:~:text=Average%20rents%20increased%20to%20%C2%A31%2C424%20(3.9%25)%20in%20England</t>
  </si>
  <si>
    <t>https://www.gov.uk/government/statistics/english-housing-survey-2023-to-2024-rented-sectors/english-housing-survey-2023-24-rented-sectors</t>
  </si>
  <si>
    <t>https://www.legislation.gov.uk/ukpga/2003/14/schedule/5/paragraph/8</t>
  </si>
  <si>
    <t>https://www.gov.uk/stamp-duty-land-tax/residential-property-rates#:~:text=SDLT%20at%201%25%20on%20the%20portion%20over%20%C2%A3125%2C000.</t>
  </si>
  <si>
    <t>TOTAL</t>
  </si>
  <si>
    <t>Illustrative examples</t>
  </si>
  <si>
    <t>1-2 years</t>
  </si>
  <si>
    <t>2-3 years</t>
  </si>
  <si>
    <t>3-5 years</t>
  </si>
  <si>
    <t>5-10 years</t>
  </si>
  <si>
    <t>10-20 years</t>
  </si>
  <si>
    <t>20-30 years</t>
  </si>
  <si>
    <t>&gt;30 years</t>
  </si>
  <si>
    <t>Length of time in rented accommodation</t>
  </si>
  <si>
    <t>https://assets.publishing.service.gov.uk/media/64afa6888bc29f000d2ccc74/FA3531_length_of_time_in_rented_accommodation_by_type_of_letting.ods</t>
  </si>
  <si>
    <t>https://www.gov.uk/government/statistics/chapters-for-english-housing-survey-2023-to-2024-headline-findings-on-demographics-and-household-resilience/chapter-1-profile-of-households-and-dwellings</t>
  </si>
  <si>
    <t>Lower bound L (years)</t>
  </si>
  <si>
    <t>Upper bound U (years)</t>
  </si>
  <si>
    <t/>
  </si>
  <si>
    <t>Assumed width of 30+ year category</t>
  </si>
  <si>
    <t>(we disregard &gt;30)</t>
  </si>
  <si>
    <t>Estimate of impact based on 2018/19 data</t>
  </si>
  <si>
    <t>2018/19 English Housing Survey data and derived tenancy-survival estimates</t>
  </si>
  <si>
    <t>Length of residence (official EHS band)</t>
  </si>
  <si>
    <t>Observed share of current tenancies, p</t>
  </si>
  <si>
    <t>Band width, U−L (years)</t>
  </si>
  <si>
    <t>Implied annual age density, g = p/(U−L)</t>
  </si>
  <si>
    <t>Baseline density (0–1 years), g₀</t>
  </si>
  <si>
    <t>Estimated survival at band start, S(L)</t>
  </si>
  <si>
    <t>Estimated survival at band end, S(U)</t>
  </si>
  <si>
    <t>Year-by-year estimates of first SDLT liability (derived from EHS data)</t>
  </si>
  <si>
    <t>Tenancy age at start of year (years)</t>
  </si>
  <si>
    <t>Implied cross-sectional share in year [k−1,k)</t>
  </si>
  <si>
    <t>SDLT anniversary year, k</t>
  </si>
  <si>
    <t>Monthly rent triggering SDLT at anniversary k</t>
  </si>
  <si>
    <t>Estimated share of renters with rent ≥ threshold</t>
  </si>
  <si>
    <t>Estimated probability tenancy survives to anniversary k</t>
  </si>
  <si>
    <t>Estimated number of current tenancies first becoming SDLT-chargeable at anniversary k</t>
  </si>
  <si>
    <t>of which first becoming SDLT-chargeable within three years of commencement:</t>
  </si>
  <si>
    <t>(green is the raw data)</t>
  </si>
  <si>
    <t>makes very little difference to final result</t>
  </si>
  <si>
    <t>Cumulative (for chart)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</si>
</sst>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£&quot;#,##0_);[Red]\(&quot;£&quot;#,##0\)"/>
    <numFmt numFmtId="8" formatCode="&quot;£&quot;#,##0.00_);[Red]\(&quot;£&quot;#,##0.00\)"/>
    <numFmt numFmtId="43" formatCode="_(* #,##0.00_);_(* \(#,##0.00\);_(* &quot;-&quot;??_);_(@_)"/>
    <numFmt numFmtId="164" formatCode="&quot;£&quot;#,##0"/>
    <numFmt numFmtId="165" formatCode="_(* #,##0_);_(* \(#,##0\);_(* &quot;-&quot;??_);_(@_)"/>
  </numFmts>
  <fonts count="6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10"/>
      <color rgb="FF000000"/>
      <name val="Arial"/>
      <family val="2"/>
    </font>
    <font>
      <u/>
      <sz val="12"/>
      <color theme="10"/>
      <name val="Aptos Narrow"/>
      <family val="2"/>
      <scheme val="minor"/>
    </font>
    <font>
      <b/>
      <sz val="18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Border="0" applyProtection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10" fontId="0" fillId="0" borderId="0" xfId="0" applyNumberFormat="1"/>
    <xf numFmtId="8" fontId="0" fillId="0" borderId="0" xfId="0" applyNumberFormat="1"/>
    <xf numFmtId="164" fontId="0" fillId="0" borderId="0" xfId="0" applyNumberFormat="1"/>
    <xf numFmtId="164" fontId="2" fillId="0" borderId="0" xfId="0" applyNumberFormat="1" applyFont="1"/>
    <xf numFmtId="0" fontId="2" fillId="0" borderId="0" xfId="0" applyFont="1"/>
    <xf numFmtId="6" fontId="0" fillId="0" borderId="0" xfId="0" applyNumberFormat="1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165" fontId="0" fillId="0" borderId="0" xfId="1" applyNumberFormat="1" applyFont="1"/>
    <xf numFmtId="0" fontId="4" fillId="0" borderId="0" xfId="3"/>
    <xf numFmtId="0" fontId="5" fillId="0" borderId="0" xfId="0" applyFont="1"/>
    <xf numFmtId="0" fontId="2" fillId="0" borderId="0" xfId="0" applyFont="1" applyAlignment="1">
      <alignment vertical="center" wrapText="1"/>
    </xf>
    <xf numFmtId="1" fontId="0" fillId="0" borderId="0" xfId="0" applyNumberFormat="1"/>
    <xf numFmtId="165" fontId="0" fillId="0" borderId="0" xfId="1" applyNumberFormat="1" applyFont="1" applyFill="1"/>
    <xf numFmtId="165" fontId="2" fillId="0" borderId="0" xfId="0" applyNumberFormat="1" applyFont="1"/>
    <xf numFmtId="10" fontId="0" fillId="2" borderId="1" xfId="0" applyNumberFormat="1" applyFill="1" applyBorder="1"/>
    <xf numFmtId="10" fontId="0" fillId="2" borderId="2" xfId="0" applyNumberFormat="1" applyFill="1" applyBorder="1"/>
    <xf numFmtId="10" fontId="0" fillId="2" borderId="3" xfId="0" applyNumberFormat="1" applyFill="1" applyBorder="1"/>
    <xf numFmtId="165" fontId="0" fillId="0" borderId="0" xfId="0" applyNumberFormat="1"/>
  </cellXfs>
  <cellStyles count="4">
    <cellStyle name="Comma" xfId="1" builtinId="3"/>
    <cellStyle name="Hyperlink" xfId="3" builtinId="8"/>
    <cellStyle name="Normal" xfId="0" builtinId="0"/>
    <cellStyle name="Normal 2" xfId="2" xr:uid="{D659F883-EC58-AA45-9A58-9BCB3E2B7F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3DF71-0347-784E-87CA-F252B6578682}">
  <dimension ref="A1:J21"/>
  <sheetViews>
    <sheetView tabSelected="1" zoomScale="140" zoomScaleNormal="140" workbookViewId="0">
      <selection activeCell="G17" sqref="G17"/>
    </sheetView>
  </sheetViews>
  <sheetFormatPr baseColWidth="10" defaultRowHeight="16" x14ac:dyDescent="0.2"/>
  <cols>
    <col min="1" max="1" width="23.83203125" customWidth="1"/>
    <col min="2" max="2" width="30.6640625" customWidth="1"/>
    <col min="3" max="3" width="13" customWidth="1"/>
    <col min="4" max="4" width="18.1640625" customWidth="1"/>
    <col min="5" max="5" width="25" customWidth="1"/>
    <col min="6" max="6" width="19.83203125" customWidth="1"/>
    <col min="7" max="7" width="22" customWidth="1"/>
    <col min="8" max="9" width="25.5" customWidth="1"/>
    <col min="13" max="13" width="23.6640625" bestFit="1" customWidth="1"/>
    <col min="15" max="15" width="28" bestFit="1" customWidth="1"/>
  </cols>
  <sheetData>
    <row r="1" spans="1:10" ht="24" x14ac:dyDescent="0.3">
      <c r="A1" s="11" t="s">
        <v>8</v>
      </c>
    </row>
    <row r="2" spans="1:10" x14ac:dyDescent="0.2">
      <c r="A2" s="5"/>
    </row>
    <row r="3" spans="1:10" x14ac:dyDescent="0.2">
      <c r="A3" s="5" t="s">
        <v>16</v>
      </c>
      <c r="C3" t="s">
        <v>15</v>
      </c>
    </row>
    <row r="4" spans="1:10" x14ac:dyDescent="0.2">
      <c r="A4" t="s">
        <v>11</v>
      </c>
      <c r="B4" s="6">
        <v>125000</v>
      </c>
      <c r="C4" s="10" t="s">
        <v>20</v>
      </c>
    </row>
    <row r="5" spans="1:10" x14ac:dyDescent="0.2">
      <c r="A5" t="s">
        <v>4</v>
      </c>
      <c r="B5" s="1">
        <v>3.5000000000000003E-2</v>
      </c>
      <c r="C5" s="10" t="s">
        <v>19</v>
      </c>
    </row>
    <row r="6" spans="1:10" x14ac:dyDescent="0.2">
      <c r="A6" t="s">
        <v>12</v>
      </c>
      <c r="B6" s="6">
        <v>1180</v>
      </c>
      <c r="C6" s="10" t="s">
        <v>18</v>
      </c>
    </row>
    <row r="7" spans="1:10" x14ac:dyDescent="0.2">
      <c r="A7" t="s">
        <v>13</v>
      </c>
      <c r="B7" s="6">
        <v>1424</v>
      </c>
      <c r="C7" s="10" t="s">
        <v>17</v>
      </c>
    </row>
    <row r="8" spans="1:10" x14ac:dyDescent="0.2">
      <c r="A8" t="s">
        <v>14</v>
      </c>
      <c r="B8" s="9">
        <f>4700000*(1.01^3)</f>
        <v>4842414.6999999993</v>
      </c>
      <c r="C8" s="10" t="s">
        <v>32</v>
      </c>
    </row>
    <row r="9" spans="1:10" x14ac:dyDescent="0.2">
      <c r="A9" t="s">
        <v>30</v>
      </c>
      <c r="B9" s="6"/>
      <c r="C9" s="10" t="s">
        <v>31</v>
      </c>
    </row>
    <row r="10" spans="1:10" x14ac:dyDescent="0.2">
      <c r="A10" t="s">
        <v>36</v>
      </c>
      <c r="B10">
        <v>20</v>
      </c>
      <c r="C10" t="s">
        <v>57</v>
      </c>
    </row>
    <row r="11" spans="1:10" x14ac:dyDescent="0.2">
      <c r="B11" s="6"/>
    </row>
    <row r="12" spans="1:10" x14ac:dyDescent="0.2">
      <c r="A12" s="5" t="s">
        <v>22</v>
      </c>
      <c r="J12" s="5"/>
    </row>
    <row r="14" spans="1:10" x14ac:dyDescent="0.2">
      <c r="B14" s="5" t="s">
        <v>2</v>
      </c>
      <c r="D14" s="5" t="s">
        <v>3</v>
      </c>
      <c r="E14" s="5" t="s">
        <v>5</v>
      </c>
      <c r="G14" s="5" t="s">
        <v>6</v>
      </c>
    </row>
    <row r="15" spans="1:10" x14ac:dyDescent="0.2">
      <c r="A15" s="7" t="s">
        <v>10</v>
      </c>
      <c r="B15" s="3">
        <v>8000</v>
      </c>
      <c r="D15" s="6">
        <v>3100</v>
      </c>
      <c r="E15" s="6">
        <v>960</v>
      </c>
      <c r="G15" s="6">
        <v>1800</v>
      </c>
      <c r="J15" s="6"/>
    </row>
    <row r="16" spans="1:10" x14ac:dyDescent="0.2">
      <c r="A16" s="7" t="s">
        <v>7</v>
      </c>
      <c r="B16">
        <v>1</v>
      </c>
      <c r="D16">
        <v>3</v>
      </c>
      <c r="E16">
        <v>13</v>
      </c>
      <c r="G16">
        <v>6</v>
      </c>
    </row>
    <row r="17" spans="1:10" x14ac:dyDescent="0.2">
      <c r="A17" s="7"/>
    </row>
    <row r="18" spans="1:10" x14ac:dyDescent="0.2">
      <c r="A18" s="7" t="s">
        <v>0</v>
      </c>
      <c r="B18" s="6">
        <f>PV($B5, B16+1, -B15*12, 0, 0)</f>
        <v>182370.65042358014</v>
      </c>
      <c r="D18" s="6">
        <f>PV($B5, D16+1, -D15*12, 0, 0)</f>
        <v>136638.54656037447</v>
      </c>
      <c r="E18" s="6">
        <f>PV($B5, E16+1, -E15*12, 0, 0)</f>
        <v>125804.3936003636</v>
      </c>
      <c r="G18" s="6">
        <f>PV($B5, G16+1, -G15*12, 0, 0)</f>
        <v>132074.14997798586</v>
      </c>
      <c r="J18" s="6"/>
    </row>
    <row r="19" spans="1:10" x14ac:dyDescent="0.2">
      <c r="A19" s="8" t="s">
        <v>1</v>
      </c>
      <c r="B19" s="4">
        <f>MAX(0,(B18-$B$4)*1%)</f>
        <v>573.70650423580139</v>
      </c>
      <c r="D19" s="4">
        <f>MAX(0,(D18-$B$4)*1%)</f>
        <v>116.38546560374468</v>
      </c>
      <c r="E19" s="4">
        <f>MAX(0,(E18-$B$4)*1%)</f>
        <v>8.0439360036360448</v>
      </c>
      <c r="G19" s="4">
        <f>MAX(0,(G18-$B$4)*1%)</f>
        <v>70.741499779858572</v>
      </c>
      <c r="J19" s="4"/>
    </row>
    <row r="21" spans="1:10" x14ac:dyDescent="0.2">
      <c r="B21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A5AC7-5742-624D-A23B-FB03B09033CC}">
  <dimension ref="A1:I52"/>
  <sheetViews>
    <sheetView topLeftCell="A2" zoomScale="131" zoomScaleNormal="131" workbookViewId="0">
      <selection activeCell="A2" sqref="A2"/>
    </sheetView>
  </sheetViews>
  <sheetFormatPr baseColWidth="10" defaultRowHeight="16" x14ac:dyDescent="0.2"/>
  <cols>
    <col min="4" max="4" width="14" customWidth="1"/>
    <col min="7" max="7" width="16.1640625" customWidth="1"/>
  </cols>
  <sheetData>
    <row r="1" spans="1:9" ht="24" x14ac:dyDescent="0.3">
      <c r="A1" s="11" t="s">
        <v>38</v>
      </c>
    </row>
    <row r="2" spans="1:9" x14ac:dyDescent="0.2">
      <c r="A2" t="s">
        <v>56</v>
      </c>
    </row>
    <row r="4" spans="1:9" x14ac:dyDescent="0.2">
      <c r="A4" s="5" t="s">
        <v>39</v>
      </c>
    </row>
    <row r="6" spans="1:9" s="12" customFormat="1" ht="69" thickBot="1" x14ac:dyDescent="0.25">
      <c r="A6" s="12" t="s">
        <v>40</v>
      </c>
      <c r="B6" s="12" t="s">
        <v>33</v>
      </c>
      <c r="C6" s="12" t="s">
        <v>34</v>
      </c>
      <c r="D6" s="12" t="s">
        <v>41</v>
      </c>
      <c r="E6" s="12" t="s">
        <v>42</v>
      </c>
      <c r="F6" s="12" t="s">
        <v>43</v>
      </c>
      <c r="G6" s="12" t="s">
        <v>44</v>
      </c>
      <c r="H6" s="12" t="s">
        <v>45</v>
      </c>
      <c r="I6" s="12" t="s">
        <v>46</v>
      </c>
    </row>
    <row r="7" spans="1:9" x14ac:dyDescent="0.2">
      <c r="A7" t="s">
        <v>9</v>
      </c>
      <c r="B7" s="13">
        <v>0</v>
      </c>
      <c r="C7">
        <v>1</v>
      </c>
      <c r="D7" s="16">
        <v>0.2586607864663979</v>
      </c>
      <c r="E7">
        <f t="shared" ref="E7:E13" si="0">IF(C7="",20,C7-B7)</f>
        <v>1</v>
      </c>
      <c r="F7">
        <f t="shared" ref="F7:F14" si="1">D7/E7</f>
        <v>0.2586607864663979</v>
      </c>
      <c r="G7">
        <f t="shared" ref="G7:G14" si="2">$F$7</f>
        <v>0.2586607864663979</v>
      </c>
      <c r="H7" s="1">
        <f>1</f>
        <v>1</v>
      </c>
      <c r="I7" s="1">
        <f t="shared" ref="I7:I13" si="3">H8</f>
        <v>0.56576023004473519</v>
      </c>
    </row>
    <row r="8" spans="1:9" x14ac:dyDescent="0.2">
      <c r="A8" t="s">
        <v>23</v>
      </c>
      <c r="B8" s="13">
        <v>1</v>
      </c>
      <c r="C8">
        <v>2</v>
      </c>
      <c r="D8" s="17">
        <v>0.14633998605478141</v>
      </c>
      <c r="E8">
        <f t="shared" si="0"/>
        <v>1</v>
      </c>
      <c r="F8">
        <f t="shared" si="1"/>
        <v>0.14633998605478141</v>
      </c>
      <c r="G8">
        <f t="shared" si="2"/>
        <v>0.2586607864663979</v>
      </c>
      <c r="H8" s="1">
        <f t="shared" ref="H8:H14" si="4">F8/$F$7</f>
        <v>0.56576023004473519</v>
      </c>
      <c r="I8" s="1">
        <f t="shared" si="3"/>
        <v>0.5571974379222282</v>
      </c>
    </row>
    <row r="9" spans="1:9" x14ac:dyDescent="0.2">
      <c r="A9" t="s">
        <v>24</v>
      </c>
      <c r="B9" s="13">
        <v>2</v>
      </c>
      <c r="C9">
        <v>3</v>
      </c>
      <c r="D9" s="17">
        <v>0.14412512751002546</v>
      </c>
      <c r="E9">
        <f t="shared" si="0"/>
        <v>1</v>
      </c>
      <c r="F9">
        <f t="shared" si="1"/>
        <v>0.14412512751002546</v>
      </c>
      <c r="G9">
        <f t="shared" si="2"/>
        <v>0.2586607864663979</v>
      </c>
      <c r="H9" s="1">
        <f t="shared" si="4"/>
        <v>0.5571974379222282</v>
      </c>
      <c r="I9" s="1">
        <f t="shared" si="3"/>
        <v>0.31877315219195951</v>
      </c>
    </row>
    <row r="10" spans="1:9" x14ac:dyDescent="0.2">
      <c r="A10" t="s">
        <v>25</v>
      </c>
      <c r="B10" s="13">
        <v>3</v>
      </c>
      <c r="C10">
        <v>5</v>
      </c>
      <c r="D10" s="17">
        <v>0.16490822850069001</v>
      </c>
      <c r="E10">
        <f t="shared" si="0"/>
        <v>2</v>
      </c>
      <c r="F10">
        <f t="shared" si="1"/>
        <v>8.2454114250345004E-2</v>
      </c>
      <c r="G10">
        <f t="shared" si="2"/>
        <v>0.2586607864663979</v>
      </c>
      <c r="H10" s="1">
        <f t="shared" si="4"/>
        <v>0.31877315219195951</v>
      </c>
      <c r="I10" s="1">
        <f t="shared" si="3"/>
        <v>0.12941313899690432</v>
      </c>
    </row>
    <row r="11" spans="1:9" x14ac:dyDescent="0.2">
      <c r="A11" t="s">
        <v>26</v>
      </c>
      <c r="B11" s="13">
        <v>5</v>
      </c>
      <c r="C11">
        <v>10</v>
      </c>
      <c r="D11" s="17">
        <v>0.16737052156012269</v>
      </c>
      <c r="E11">
        <f t="shared" si="0"/>
        <v>5</v>
      </c>
      <c r="F11">
        <f t="shared" si="1"/>
        <v>3.3474104312024536E-2</v>
      </c>
      <c r="G11">
        <f t="shared" si="2"/>
        <v>0.2586607864663979</v>
      </c>
      <c r="H11" s="1">
        <f t="shared" si="4"/>
        <v>0.12941313899690432</v>
      </c>
      <c r="I11" s="1">
        <f t="shared" si="3"/>
        <v>3.1699624613746667E-2</v>
      </c>
    </row>
    <row r="12" spans="1:9" x14ac:dyDescent="0.2">
      <c r="A12" t="s">
        <v>27</v>
      </c>
      <c r="B12" s="13">
        <v>10</v>
      </c>
      <c r="C12">
        <v>20</v>
      </c>
      <c r="D12" s="17">
        <v>8.1994498332812971E-2</v>
      </c>
      <c r="E12">
        <f t="shared" si="0"/>
        <v>10</v>
      </c>
      <c r="F12">
        <f t="shared" si="1"/>
        <v>8.1994498332812974E-3</v>
      </c>
      <c r="G12">
        <f t="shared" si="2"/>
        <v>0.2586607864663979</v>
      </c>
      <c r="H12" s="1">
        <f t="shared" si="4"/>
        <v>3.1699624613746667E-2</v>
      </c>
      <c r="I12" s="1">
        <f t="shared" si="3"/>
        <v>7.1086945187084551E-3</v>
      </c>
    </row>
    <row r="13" spans="1:9" x14ac:dyDescent="0.2">
      <c r="A13" t="s">
        <v>28</v>
      </c>
      <c r="B13" s="13">
        <v>20</v>
      </c>
      <c r="C13">
        <v>30</v>
      </c>
      <c r="D13" s="17">
        <v>1.838740514958501E-2</v>
      </c>
      <c r="E13">
        <f t="shared" si="0"/>
        <v>10</v>
      </c>
      <c r="F13">
        <f t="shared" si="1"/>
        <v>1.8387405149585009E-3</v>
      </c>
      <c r="G13">
        <f t="shared" si="2"/>
        <v>0.2586607864663979</v>
      </c>
      <c r="H13" s="1">
        <f t="shared" si="4"/>
        <v>7.1086945187084551E-3</v>
      </c>
      <c r="I13" s="1">
        <f t="shared" si="3"/>
        <v>3.5207204529144288E-3</v>
      </c>
    </row>
    <row r="14" spans="1:9" ht="17" thickBot="1" x14ac:dyDescent="0.25">
      <c r="A14" t="s">
        <v>29</v>
      </c>
      <c r="B14" s="13">
        <v>30</v>
      </c>
      <c r="C14" t="s">
        <v>35</v>
      </c>
      <c r="D14" s="18">
        <v>1.8213446425583577E-2</v>
      </c>
      <c r="E14">
        <f>IF(C14="",Examples!B10,C14-B14)</f>
        <v>20</v>
      </c>
      <c r="F14">
        <f t="shared" si="1"/>
        <v>9.1067232127917878E-4</v>
      </c>
      <c r="G14">
        <f t="shared" si="2"/>
        <v>0.2586607864663979</v>
      </c>
      <c r="H14" s="1">
        <f t="shared" si="4"/>
        <v>3.5207204529144288E-3</v>
      </c>
      <c r="I14" s="1">
        <f>H14</f>
        <v>3.5207204529144288E-3</v>
      </c>
    </row>
    <row r="15" spans="1:9" x14ac:dyDescent="0.2">
      <c r="B15" s="2"/>
    </row>
    <row r="16" spans="1:9" x14ac:dyDescent="0.2">
      <c r="B16" s="2"/>
    </row>
    <row r="17" spans="1:8" x14ac:dyDescent="0.2">
      <c r="A17" s="5" t="s">
        <v>47</v>
      </c>
      <c r="B17" s="2"/>
    </row>
    <row r="19" spans="1:8" s="12" customFormat="1" ht="102" x14ac:dyDescent="0.2">
      <c r="A19" s="12" t="s">
        <v>48</v>
      </c>
      <c r="B19" s="12" t="s">
        <v>49</v>
      </c>
      <c r="C19" s="12" t="s">
        <v>50</v>
      </c>
      <c r="D19" s="12" t="s">
        <v>51</v>
      </c>
      <c r="E19" s="12" t="s">
        <v>52</v>
      </c>
      <c r="F19" s="12" t="s">
        <v>53</v>
      </c>
      <c r="G19" s="12" t="s">
        <v>54</v>
      </c>
      <c r="H19" s="12" t="s">
        <v>58</v>
      </c>
    </row>
    <row r="20" spans="1:8" x14ac:dyDescent="0.2">
      <c r="A20">
        <v>1</v>
      </c>
      <c r="B20">
        <f t="shared" ref="B20:B49" si="5">_xlfn.LET(
  _xlpm.k,$A20,
  _xlpm.a,_xlpm.k-1,
  _xlpm.i,MATCH(_xlpm.a,$B$7:$B$14,1),
  _xlpm.L,INDEX($B$7:$B$14,_xlpm.i),
  _xlpm.U,INDEX($C$7:$C$14,_xlpm.i),
  _xlpm.p,INDEX($D$7:$D$14,_xlpm.i),
  _xlpm.w,IF(ISBLANK(_xlpm.U),1,_xlpm.U-_xlpm.L),
  _xlpm.p/_xlpm.w
)</f>
        <v>0.2586607864663979</v>
      </c>
      <c r="C20">
        <f t="shared" ref="C20:C49" si="6">A20-1</f>
        <v>0</v>
      </c>
      <c r="D20" s="6">
        <f>-PMT(Examples!$B$5, C20+1, Examples!$B$4, 0, 0)/12</f>
        <v>10781.250000000002</v>
      </c>
      <c r="E20" s="1">
        <f>1-_xlfn.LOGNORM.DIST(D20, LN(Examples!$B$6), SQRT(2*LN(Examples!$B$7/Examples!$B$6)), TRUE)</f>
        <v>1.5411561729106182E-4</v>
      </c>
      <c r="F20" s="1" cm="1">
        <f t="array" ref="F20">_xlfn.LET(
  _xlpm.k,$A20-1,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</v>
      </c>
      <c r="G20" s="14">
        <f>F20*E20*Examples!$B$8</f>
        <v>746.29173066981184</v>
      </c>
      <c r="H20" s="19">
        <f>G20</f>
        <v>746.29173066981184</v>
      </c>
    </row>
    <row r="21" spans="1:8" x14ac:dyDescent="0.2">
      <c r="A21">
        <v>2</v>
      </c>
      <c r="B21">
        <f t="shared" si="5"/>
        <v>0.14633998605478141</v>
      </c>
      <c r="C21">
        <f t="shared" si="6"/>
        <v>1</v>
      </c>
      <c r="D21" s="6">
        <f>-PMT(Examples!$B$5, C21+1, Examples!$B$4, 0, 0)/12</f>
        <v>5483.3384520884538</v>
      </c>
      <c r="E21" s="1">
        <f>1-_xlfn.LOGNORM.DIST(D21, LN(Examples!$B$6), SQRT(2*LN(Examples!$B$7/Examples!$B$6)), TRUE)</f>
        <v>6.1128336080590318E-3</v>
      </c>
      <c r="F21" s="1" cm="1">
        <f t="array" ref="F21">_xlfn.LET(
  _xlpm.k,$A21-1,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0.56576023004473519</v>
      </c>
      <c r="G21" s="14">
        <f>F21*(E21-E20)*Examples!$B$8</f>
        <v>16324.775850656535</v>
      </c>
      <c r="H21" s="19">
        <f>G21+H20</f>
        <v>17071.067581326348</v>
      </c>
    </row>
    <row r="22" spans="1:8" x14ac:dyDescent="0.2">
      <c r="A22">
        <v>3</v>
      </c>
      <c r="B22">
        <f t="shared" si="5"/>
        <v>0.14412512751002546</v>
      </c>
      <c r="C22">
        <f t="shared" si="6"/>
        <v>2</v>
      </c>
      <c r="D22" s="6">
        <f>-PMT(Examples!$B$5, C22+1, Examples!$B$4, 0, 0)/12</f>
        <v>3718.0643807998463</v>
      </c>
      <c r="E22" s="1">
        <f>1-_xlfn.LOGNORM.DIST(D22, LN(Examples!$B$6), SQRT(2*LN(Examples!$B$7/Examples!$B$6)), TRUE)</f>
        <v>3.061048389852572E-2</v>
      </c>
      <c r="F22" s="1" cm="1">
        <f t="array" ref="F22">_xlfn.LET(
  _xlpm.k,$A22-1,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0.5571974379222282</v>
      </c>
      <c r="G22" s="14">
        <f>F22*(E22-E21)*Examples!$B$8</f>
        <v>66099.096131055761</v>
      </c>
      <c r="H22" s="19">
        <f t="shared" ref="H22:H49" si="7">G22+H21</f>
        <v>83170.163712382113</v>
      </c>
    </row>
    <row r="23" spans="1:8" x14ac:dyDescent="0.2">
      <c r="A23">
        <v>4</v>
      </c>
      <c r="B23">
        <f t="shared" si="5"/>
        <v>8.2454114250345004E-2</v>
      </c>
      <c r="C23">
        <f t="shared" si="6"/>
        <v>3</v>
      </c>
      <c r="D23" s="6">
        <f>-PMT(Examples!$B$5, C23+1, Examples!$B$4, 0, 0)/12</f>
        <v>2835.9493697393827</v>
      </c>
      <c r="E23" s="1">
        <f>1-_xlfn.LOGNORM.DIST(D23, LN(Examples!$B$6), SQRT(2*LN(Examples!$B$7/Examples!$B$6)), TRUE)</f>
        <v>7.6333469028426637E-2</v>
      </c>
      <c r="F23" s="1" cm="1">
        <f t="array" ref="F23">_xlfn.LET(
  _xlpm.k,$A23-1,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0.31877315219195951</v>
      </c>
      <c r="G23" s="14">
        <f>F23*(E23-E22)*Examples!$B$8</f>
        <v>70579.453752382877</v>
      </c>
      <c r="H23" s="19">
        <f t="shared" si="7"/>
        <v>153749.61746476498</v>
      </c>
    </row>
    <row r="24" spans="1:8" x14ac:dyDescent="0.2">
      <c r="A24">
        <v>5</v>
      </c>
      <c r="B24">
        <f t="shared" si="5"/>
        <v>8.2454114250345004E-2</v>
      </c>
      <c r="C24">
        <f t="shared" si="6"/>
        <v>4</v>
      </c>
      <c r="D24" s="6">
        <f>-PMT(Examples!$B$5, C24+1, Examples!$B$4, 0, 0)/12</f>
        <v>2307.0976370635358</v>
      </c>
      <c r="E24" s="1">
        <f>1-_xlfn.LOGNORM.DIST(D24, LN(Examples!$B$6), SQRT(2*LN(Examples!$B$7/Examples!$B$6)), TRUE)</f>
        <v>0.13707501747893536</v>
      </c>
      <c r="F24" s="1" cm="1">
        <f t="array" ref="F24">_xlfn.LET(
  _xlpm.k,$A24-1,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0.17146015888531729</v>
      </c>
      <c r="G24" s="14">
        <f>F24*(E24-E23)*Examples!$B$8</f>
        <v>50432.565363822192</v>
      </c>
      <c r="H24" s="19">
        <f t="shared" si="7"/>
        <v>204182.18282858716</v>
      </c>
    </row>
    <row r="25" spans="1:8" x14ac:dyDescent="0.2">
      <c r="A25">
        <v>6</v>
      </c>
      <c r="B25">
        <f t="shared" si="5"/>
        <v>3.3474104312024536E-2</v>
      </c>
      <c r="C25">
        <f t="shared" si="6"/>
        <v>5</v>
      </c>
      <c r="D25" s="6">
        <f>-PMT(Examples!$B$5, C25+1, Examples!$B$4, 0, 0)/12</f>
        <v>1954.8771735970593</v>
      </c>
      <c r="E25" s="1">
        <f>1-_xlfn.LOGNORM.DIST(D25, LN(Examples!$B$6), SQRT(2*LN(Examples!$B$7/Examples!$B$6)), TRUE)</f>
        <v>0.20515255124296772</v>
      </c>
      <c r="F25" s="1" cm="1">
        <f t="array" ref="F25">_xlfn.LET(
  _xlpm.k,$A25-1,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0.12941313899690432</v>
      </c>
      <c r="G25" s="14">
        <f>F25*(E25-E24)*Examples!$B$8</f>
        <v>42662.290138011303</v>
      </c>
      <c r="H25" s="19">
        <f t="shared" si="7"/>
        <v>246844.47296659846</v>
      </c>
    </row>
    <row r="26" spans="1:8" x14ac:dyDescent="0.2">
      <c r="A26">
        <v>7</v>
      </c>
      <c r="B26">
        <f t="shared" si="5"/>
        <v>3.3474104312024536E-2</v>
      </c>
      <c r="C26">
        <f t="shared" si="6"/>
        <v>6</v>
      </c>
      <c r="D26" s="6">
        <f>-PMT(Examples!$B$5, C26+1, Examples!$B$4, 0, 0)/12</f>
        <v>1703.5884769086354</v>
      </c>
      <c r="E26" s="1">
        <f>1-_xlfn.LOGNORM.DIST(D26, LN(Examples!$B$6), SQRT(2*LN(Examples!$B$7/Examples!$B$6)), TRUE)</f>
        <v>0.2746048197361729</v>
      </c>
      <c r="F26" s="1" cm="1">
        <f t="array" ref="F26">_xlfn.LET(
  _xlpm.k,$A26-1,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5.7644758807863308E-2</v>
      </c>
      <c r="G26" s="14">
        <f>F26*(E26-E25)*Examples!$B$8</f>
        <v>19386.894241756403</v>
      </c>
      <c r="H26" s="19">
        <f t="shared" si="7"/>
        <v>266231.36720835487</v>
      </c>
    </row>
    <row r="27" spans="1:8" x14ac:dyDescent="0.2">
      <c r="A27">
        <v>8</v>
      </c>
      <c r="B27">
        <f t="shared" si="5"/>
        <v>3.3474104312024536E-2</v>
      </c>
      <c r="C27">
        <f t="shared" si="6"/>
        <v>7</v>
      </c>
      <c r="D27" s="6">
        <f>-PMT(Examples!$B$5, C27+1, Examples!$B$4, 0, 0)/12</f>
        <v>1515.3817348809771</v>
      </c>
      <c r="E27" s="1">
        <f>1-_xlfn.LOGNORM.DIST(D27, LN(Examples!$B$6), SQRT(2*LN(Examples!$B$7/Examples!$B$6)), TRUE)</f>
        <v>0.34163577723700889</v>
      </c>
      <c r="F27" s="1" cm="1">
        <f t="array" ref="F27">_xlfn.LET(
  _xlpm.k,$A27-1,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4.9640185944024057E-2</v>
      </c>
      <c r="G27" s="14">
        <f>F27*(E27-E26)*Examples!$B$8</f>
        <v>16112.792043917354</v>
      </c>
      <c r="H27" s="19">
        <f t="shared" si="7"/>
        <v>282344.15925227222</v>
      </c>
    </row>
    <row r="28" spans="1:8" x14ac:dyDescent="0.2">
      <c r="A28">
        <v>9</v>
      </c>
      <c r="B28">
        <f t="shared" si="5"/>
        <v>3.3474104312024536E-2</v>
      </c>
      <c r="C28">
        <f t="shared" si="6"/>
        <v>8</v>
      </c>
      <c r="D28" s="6">
        <f>-PMT(Examples!$B$5, C28+1, Examples!$B$4, 0, 0)/12</f>
        <v>1369.2292202792653</v>
      </c>
      <c r="E28" s="1">
        <f>1-_xlfn.LOGNORM.DIST(D28, LN(Examples!$B$6), SQRT(2*LN(Examples!$B$7/Examples!$B$6)), TRUE)</f>
        <v>0.40416289504394964</v>
      </c>
      <c r="F28" s="1" cm="1">
        <f t="array" ref="F28">_xlfn.LET(
  _xlpm.k,$A28-1,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4.2747131075187184E-2</v>
      </c>
      <c r="G28" s="14">
        <f>F28*(E28-E27)*Examples!$B$8</f>
        <v>12943.071861859911</v>
      </c>
      <c r="H28" s="19">
        <f t="shared" si="7"/>
        <v>295287.23111413216</v>
      </c>
    </row>
    <row r="29" spans="1:8" x14ac:dyDescent="0.2">
      <c r="A29">
        <v>10</v>
      </c>
      <c r="B29">
        <f t="shared" si="5"/>
        <v>3.3474104312024536E-2</v>
      </c>
      <c r="C29">
        <f t="shared" si="6"/>
        <v>9</v>
      </c>
      <c r="D29" s="6">
        <f>-PMT(Examples!$B$5, C29+1, Examples!$B$4, 0, 0)/12</f>
        <v>1252.5142486186592</v>
      </c>
      <c r="E29" s="1">
        <f>1-_xlfn.LOGNORM.DIST(D29, LN(Examples!$B$6), SQRT(2*LN(Examples!$B$7/Examples!$B$6)), TRUE)</f>
        <v>0.46125551288877098</v>
      </c>
      <c r="F29" s="1" cm="1">
        <f t="array" ref="F29">_xlfn.LET(
  _xlpm.k,$A29-1,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3.6811248394995499E-2</v>
      </c>
      <c r="G29" s="14">
        <f>F29*(E29-E28)*Examples!$B$8</f>
        <v>10177.063454662057</v>
      </c>
      <c r="H29" s="19">
        <f t="shared" si="7"/>
        <v>305464.2945687942</v>
      </c>
    </row>
    <row r="30" spans="1:8" x14ac:dyDescent="0.2">
      <c r="A30">
        <v>11</v>
      </c>
      <c r="B30">
        <f t="shared" si="5"/>
        <v>8.1994498332812974E-3</v>
      </c>
      <c r="C30">
        <f t="shared" si="6"/>
        <v>10</v>
      </c>
      <c r="D30" s="6">
        <f>-PMT(Examples!$B$5, C30+1, Examples!$B$4, 0, 0)/12</f>
        <v>1157.2079772309999</v>
      </c>
      <c r="E30" s="1">
        <f>1-_xlfn.LOGNORM.DIST(D30, LN(Examples!$B$6), SQRT(2*LN(Examples!$B$7/Examples!$B$6)), TRUE)</f>
        <v>0.51268889261218709</v>
      </c>
      <c r="F30" s="1" cm="1">
        <f t="array" ref="F30">_xlfn.LET(
  _xlpm.k,$A30-1,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3.1699624613746667E-2</v>
      </c>
      <c r="G30" s="14">
        <f>F30*(E30-E29)*Examples!$B$8</f>
        <v>7895.1641088155602</v>
      </c>
      <c r="H30" s="19">
        <f t="shared" si="7"/>
        <v>313359.45867760974</v>
      </c>
    </row>
    <row r="31" spans="1:8" x14ac:dyDescent="0.2">
      <c r="A31">
        <v>12</v>
      </c>
      <c r="B31">
        <f t="shared" si="5"/>
        <v>8.1994498332812974E-3</v>
      </c>
      <c r="C31">
        <f t="shared" si="6"/>
        <v>11</v>
      </c>
      <c r="D31" s="6">
        <f>-PMT(Examples!$B$5, C31+1, Examples!$B$4, 0, 0)/12</f>
        <v>1077.9578048307078</v>
      </c>
      <c r="E31" s="1">
        <f>1-_xlfn.LOGNORM.DIST(D31, LN(Examples!$B$6), SQRT(2*LN(Examples!$B$7/Examples!$B$6)), TRUE)</f>
        <v>0.55863874844240557</v>
      </c>
      <c r="F31" s="1" cm="1">
        <f t="array" ref="F31">_xlfn.LET(
  _xlpm.k,$A31-1,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1.3379267267216896E-2</v>
      </c>
      <c r="G31" s="14">
        <f>F31*(E31-E30)*Examples!$B$8</f>
        <v>2976.9974440493879</v>
      </c>
      <c r="H31" s="19">
        <f t="shared" si="7"/>
        <v>316336.45612165914</v>
      </c>
    </row>
    <row r="32" spans="1:8" x14ac:dyDescent="0.2">
      <c r="A32">
        <v>13</v>
      </c>
      <c r="B32">
        <f t="shared" si="5"/>
        <v>8.1994498332812974E-3</v>
      </c>
      <c r="C32">
        <f t="shared" si="6"/>
        <v>12</v>
      </c>
      <c r="D32" s="6">
        <f>-PMT(Examples!$B$5, C32+1, Examples!$B$4, 0, 0)/12</f>
        <v>1011.0580482336658</v>
      </c>
      <c r="E32" s="1">
        <f>1-_xlfn.LOGNORM.DIST(D32, LN(Examples!$B$6), SQRT(2*LN(Examples!$B$7/Examples!$B$6)), TRUE)</f>
        <v>0.59948700080449491</v>
      </c>
      <c r="F32" s="1" cm="1">
        <f t="array" ref="F32">_xlfn.LET(
  _xlpm.k,$A32-1,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1.2471437038359888E-2</v>
      </c>
      <c r="G32" s="14">
        <f>F32*(E32-E31)*Examples!$B$8</f>
        <v>2466.9023482035254</v>
      </c>
      <c r="H32" s="19">
        <f t="shared" si="7"/>
        <v>318803.35846986267</v>
      </c>
    </row>
    <row r="33" spans="1:8" x14ac:dyDescent="0.2">
      <c r="A33">
        <v>14</v>
      </c>
      <c r="B33">
        <f t="shared" si="5"/>
        <v>8.1994498332812974E-3</v>
      </c>
      <c r="C33">
        <f t="shared" si="6"/>
        <v>13</v>
      </c>
      <c r="D33" s="6">
        <f>-PMT(Examples!$B$5, C33+1, Examples!$B$4, 0, 0)/12</f>
        <v>953.86175765210317</v>
      </c>
      <c r="E33" s="1">
        <f>1-_xlfn.LOGNORM.DIST(D33, LN(Examples!$B$6), SQRT(2*LN(Examples!$B$7/Examples!$B$6)), TRUE)</f>
        <v>0.63570424784867097</v>
      </c>
      <c r="F33" s="1" cm="1">
        <f t="array" ref="F33">_xlfn.LET(
  _xlpm.k,$A33-1,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1.1625206275898624E-2</v>
      </c>
      <c r="G33" s="14">
        <f>F33*(E33-E32)*Examples!$B$8</f>
        <v>2038.8162316541807</v>
      </c>
      <c r="H33" s="19">
        <f t="shared" si="7"/>
        <v>320842.17470151687</v>
      </c>
    </row>
    <row r="34" spans="1:8" x14ac:dyDescent="0.2">
      <c r="A34">
        <v>15</v>
      </c>
      <c r="B34">
        <f t="shared" si="5"/>
        <v>8.1994498332812974E-3</v>
      </c>
      <c r="C34">
        <f t="shared" si="6"/>
        <v>14</v>
      </c>
      <c r="D34" s="6">
        <f>-PMT(Examples!$B$5, C34+1, Examples!$B$4, 0, 0)/12</f>
        <v>904.42780589617666</v>
      </c>
      <c r="E34" s="1">
        <f>1-_xlfn.LOGNORM.DIST(D34, LN(Examples!$B$6), SQRT(2*LN(Examples!$B$7/Examples!$B$6)), TRUE)</f>
        <v>0.66778178609736671</v>
      </c>
      <c r="F34" s="1" cm="1">
        <f t="array" ref="F34">_xlfn.LET(
  _xlpm.k,$A34-1,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1.0836395239899767E-2</v>
      </c>
      <c r="G34" s="14">
        <f>F34*(E34-E33)*Examples!$B$8</f>
        <v>1683.2469941940703</v>
      </c>
      <c r="H34" s="19">
        <f t="shared" si="7"/>
        <v>322525.42169571092</v>
      </c>
    </row>
    <row r="35" spans="1:8" x14ac:dyDescent="0.2">
      <c r="A35">
        <v>16</v>
      </c>
      <c r="B35">
        <f t="shared" si="5"/>
        <v>8.1994498332812974E-3</v>
      </c>
      <c r="C35">
        <f t="shared" si="6"/>
        <v>15</v>
      </c>
      <c r="D35" s="6">
        <f>-PMT(Examples!$B$5, C35+1, Examples!$B$4, 0, 0)/12</f>
        <v>861.30031914756876</v>
      </c>
      <c r="E35" s="1">
        <f>1-_xlfn.LOGNORM.DIST(D35, LN(Examples!$B$6), SQRT(2*LN(Examples!$B$7/Examples!$B$6)), TRUE)</f>
        <v>0.69619440759482898</v>
      </c>
      <c r="F35" s="1" cm="1">
        <f t="array" ref="F35">_xlfn.LET(
  _xlpm.k,$A35-1,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1.0101107800450209E-2</v>
      </c>
      <c r="G35" s="14">
        <f>F35*(E35-E34)*Examples!$B$8</f>
        <v>1389.7679471449339</v>
      </c>
      <c r="H35" s="19">
        <f t="shared" si="7"/>
        <v>323915.18964285584</v>
      </c>
    </row>
    <row r="36" spans="1:8" x14ac:dyDescent="0.2">
      <c r="A36">
        <v>17</v>
      </c>
      <c r="B36">
        <f t="shared" si="5"/>
        <v>8.1994498332812974E-3</v>
      </c>
      <c r="C36">
        <f t="shared" si="6"/>
        <v>16</v>
      </c>
      <c r="D36" s="6">
        <f>-PMT(Examples!$B$5, C36+1, Examples!$B$4, 0, 0)/12</f>
        <v>823.36595571611485</v>
      </c>
      <c r="E36" s="1">
        <f>1-_xlfn.LOGNORM.DIST(D36, LN(Examples!$B$6), SQRT(2*LN(Examples!$B$7/Examples!$B$6)), TRUE)</f>
        <v>0.721381766211318</v>
      </c>
      <c r="F36" s="1" cm="1">
        <f t="array" ref="F36">_xlfn.LET(
  _xlpm.k,$A36-1,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9.4157121937220745E-3</v>
      </c>
      <c r="G36" s="14">
        <f>F36*(E36-E35)*Examples!$B$8</f>
        <v>1148.4121539340497</v>
      </c>
      <c r="H36" s="19">
        <f t="shared" si="7"/>
        <v>325063.60179678991</v>
      </c>
    </row>
    <row r="37" spans="1:8" x14ac:dyDescent="0.2">
      <c r="A37">
        <v>18</v>
      </c>
      <c r="B37">
        <f t="shared" si="5"/>
        <v>8.1994498332812974E-3</v>
      </c>
      <c r="C37">
        <f t="shared" si="6"/>
        <v>17</v>
      </c>
      <c r="D37" s="6">
        <f>-PMT(Examples!$B$5, C37+1, Examples!$B$4, 0, 0)/12</f>
        <v>789.7587585633305</v>
      </c>
      <c r="E37" s="1">
        <f>1-_xlfn.LOGNORM.DIST(D37, LN(Examples!$B$6), SQRT(2*LN(Examples!$B$7/Examples!$B$6)), TRUE)</f>
        <v>0.74374063825121461</v>
      </c>
      <c r="F37" s="1" cm="1">
        <f t="array" ref="F37">_xlfn.LET(
  _xlpm.k,$A37-1,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8.7768230838062272E-3</v>
      </c>
      <c r="G37" s="14">
        <f>F37*(E37-E36)*Examples!$B$8</f>
        <v>950.27480335874839</v>
      </c>
      <c r="H37" s="19">
        <f t="shared" si="7"/>
        <v>326013.87660014868</v>
      </c>
    </row>
    <row r="38" spans="1:8" x14ac:dyDescent="0.2">
      <c r="A38">
        <v>19</v>
      </c>
      <c r="B38">
        <f t="shared" si="5"/>
        <v>8.1994498332812974E-3</v>
      </c>
      <c r="C38">
        <f t="shared" si="6"/>
        <v>18</v>
      </c>
      <c r="D38" s="6">
        <f>-PMT(Examples!$B$5, C38+1, Examples!$B$4, 0, 0)/12</f>
        <v>759.79505441505717</v>
      </c>
      <c r="E38" s="1">
        <f>1-_xlfn.LOGNORM.DIST(D38, LN(Examples!$B$6), SQRT(2*LN(Examples!$B$7/Examples!$B$6)), TRUE)</f>
        <v>0.76362335740587217</v>
      </c>
      <c r="F38" s="1" cm="1">
        <f t="array" ref="F38">_xlfn.LET(
  _xlpm.k,$A38-1,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8.1812848417133401E-3</v>
      </c>
      <c r="G38" s="14">
        <f>F38*(E38-E37)*Examples!$B$8</f>
        <v>787.69714399326244</v>
      </c>
      <c r="H38" s="19">
        <f t="shared" si="7"/>
        <v>326801.57374414196</v>
      </c>
    </row>
    <row r="39" spans="1:8" x14ac:dyDescent="0.2">
      <c r="A39">
        <v>20</v>
      </c>
      <c r="B39">
        <f t="shared" si="5"/>
        <v>8.1994498332812974E-3</v>
      </c>
      <c r="C39">
        <f t="shared" si="6"/>
        <v>19</v>
      </c>
      <c r="D39" s="6">
        <f>-PMT(Examples!$B$5, C39+1, Examples!$B$4, 0, 0)/12</f>
        <v>732.92788315652285</v>
      </c>
      <c r="E39" s="1">
        <f>1-_xlfn.LOGNORM.DIST(D39, LN(Examples!$B$6), SQRT(2*LN(Examples!$B$7/Examples!$B$6)), TRUE)</f>
        <v>0.78133957231377671</v>
      </c>
      <c r="F39" s="1" cm="1">
        <f t="array" ref="F39">_xlfn.LET(
  _xlpm.k,$A39-1,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7.6261559589533828E-3</v>
      </c>
      <c r="G39" s="14">
        <f>F39*(E39-E38)*Examples!$B$8</f>
        <v>654.24227253789127</v>
      </c>
      <c r="H39" s="19">
        <f t="shared" si="7"/>
        <v>327455.81601667986</v>
      </c>
    </row>
    <row r="40" spans="1:8" x14ac:dyDescent="0.2">
      <c r="A40">
        <v>21</v>
      </c>
      <c r="B40">
        <f t="shared" si="5"/>
        <v>1.8387405149585009E-3</v>
      </c>
      <c r="C40">
        <f t="shared" si="6"/>
        <v>20</v>
      </c>
      <c r="D40" s="6">
        <f>-PMT(Examples!$B$5, C40+1, Examples!$B$4, 0, 0)/12</f>
        <v>708.71444741518155</v>
      </c>
      <c r="E40" s="1">
        <f>1-_xlfn.LOGNORM.DIST(D40, LN(Examples!$B$6), SQRT(2*LN(Examples!$B$7/Examples!$B$6)), TRUE)</f>
        <v>0.797159634590207</v>
      </c>
      <c r="F40" s="1" cm="1">
        <f t="array" ref="F40">_xlfn.LET(
  _xlpm.k,$A40-1,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7.1086945187084551E-3</v>
      </c>
      <c r="G40" s="14">
        <f>F40*(E40-E39)*Examples!$B$8</f>
        <v>544.57790868984716</v>
      </c>
      <c r="H40" s="19">
        <f t="shared" si="7"/>
        <v>328000.39392536972</v>
      </c>
    </row>
    <row r="41" spans="1:8" x14ac:dyDescent="0.2">
      <c r="A41">
        <v>22</v>
      </c>
      <c r="B41">
        <f t="shared" si="5"/>
        <v>1.8387405149585009E-3</v>
      </c>
      <c r="C41">
        <f t="shared" si="6"/>
        <v>21</v>
      </c>
      <c r="D41" s="6">
        <f>-PMT(Examples!$B$5, C41+1, Examples!$B$4, 0, 0)/12</f>
        <v>686.79243954381207</v>
      </c>
      <c r="E41" s="1">
        <f>1-_xlfn.LOGNORM.DIST(D41, LN(Examples!$B$6), SQRT(2*LN(Examples!$B$7/Examples!$B$6)), TRUE)</f>
        <v>0.81131863577091179</v>
      </c>
      <c r="F41" s="1" cm="1">
        <f t="array" ref="F41">_xlfn.LET(
  _xlpm.k,$A41-1,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3.5207204529144288E-3</v>
      </c>
      <c r="G41" s="14">
        <f>F41*(E41-E40)*Examples!$B$8</f>
        <v>241.39381615820457</v>
      </c>
      <c r="H41" s="19">
        <f t="shared" si="7"/>
        <v>328241.78774152789</v>
      </c>
    </row>
    <row r="42" spans="1:8" x14ac:dyDescent="0.2">
      <c r="A42">
        <v>23</v>
      </c>
      <c r="B42">
        <f t="shared" si="5"/>
        <v>1.8387405149585009E-3</v>
      </c>
      <c r="C42">
        <f t="shared" si="6"/>
        <v>22</v>
      </c>
      <c r="D42" s="6">
        <f>-PMT(Examples!$B$5, C42+1, Examples!$B$4, 0, 0)/12</f>
        <v>666.86254418590954</v>
      </c>
      <c r="E42" s="1">
        <f>1-_xlfn.LOGNORM.DIST(D42, LN(Examples!$B$6), SQRT(2*LN(Examples!$B$7/Examples!$B$6)), TRUE)</f>
        <v>0.82402054229121913</v>
      </c>
      <c r="F42" s="1" cm="1">
        <f t="array" ref="F42">_xlfn.LET(
  _xlpm.k,$A42-1,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3.5207204529144288E-3</v>
      </c>
      <c r="G42" s="14">
        <f>F42*(E42-E41)*Examples!$B$8</f>
        <v>216.55211750389483</v>
      </c>
      <c r="H42" s="19">
        <f t="shared" si="7"/>
        <v>328458.33985903178</v>
      </c>
    </row>
    <row r="43" spans="1:8" x14ac:dyDescent="0.2">
      <c r="A43">
        <v>24</v>
      </c>
      <c r="B43">
        <f t="shared" si="5"/>
        <v>1.8387405149585009E-3</v>
      </c>
      <c r="C43">
        <f t="shared" si="6"/>
        <v>23</v>
      </c>
      <c r="D43" s="6">
        <f>-PMT(Examples!$B$5, C43+1, Examples!$B$4, 0, 0)/12</f>
        <v>648.67531521138039</v>
      </c>
      <c r="E43" s="1">
        <f>1-_xlfn.LOGNORM.DIST(D43, LN(Examples!$B$6), SQRT(2*LN(Examples!$B$7/Examples!$B$6)), TRUE)</f>
        <v>0.83544213558281566</v>
      </c>
      <c r="F43" s="1" cm="1">
        <f t="array" ref="F43">_xlfn.LET(
  _xlpm.k,$A43-1,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3.5207204529144288E-3</v>
      </c>
      <c r="G43" s="14">
        <f>F43*(E43-E42)*Examples!$B$8</f>
        <v>194.72432808485692</v>
      </c>
      <c r="H43" s="19">
        <f t="shared" si="7"/>
        <v>328653.06418711663</v>
      </c>
    </row>
    <row r="44" spans="1:8" x14ac:dyDescent="0.2">
      <c r="A44">
        <v>25</v>
      </c>
      <c r="B44">
        <f t="shared" si="5"/>
        <v>1.8387405149585009E-3</v>
      </c>
      <c r="C44">
        <f t="shared" si="6"/>
        <v>24</v>
      </c>
      <c r="D44" s="6">
        <f>-PMT(Examples!$B$5, C44+1, Examples!$B$4, 0, 0)/12</f>
        <v>632.02120219837332</v>
      </c>
      <c r="E44" s="1">
        <f>1-_xlfn.LOGNORM.DIST(D44, LN(Examples!$B$6), SQRT(2*LN(Examples!$B$7/Examples!$B$6)), TRUE)</f>
        <v>0.8457366165404071</v>
      </c>
      <c r="F44" s="1" cm="1">
        <f t="array" ref="F44">_xlfn.LET(
  _xlpm.k,$A44-1,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3.5207204529144288E-3</v>
      </c>
      <c r="G44" s="14">
        <f>F44*(E44-E43)*Examples!$B$8</f>
        <v>175.50842831395758</v>
      </c>
      <c r="H44" s="19">
        <f t="shared" si="7"/>
        <v>328828.57261543057</v>
      </c>
    </row>
    <row r="45" spans="1:8" x14ac:dyDescent="0.2">
      <c r="A45">
        <v>26</v>
      </c>
      <c r="B45">
        <f t="shared" si="5"/>
        <v>1.8387405149585009E-3</v>
      </c>
      <c r="C45">
        <f t="shared" si="6"/>
        <v>25</v>
      </c>
      <c r="D45" s="6">
        <f>-PMT(Examples!$B$5, C45+1, Examples!$B$4, 0, 0)/12</f>
        <v>616.72287850604005</v>
      </c>
      <c r="E45" s="1">
        <f>1-_xlfn.LOGNORM.DIST(D45, LN(Examples!$B$6), SQRT(2*LN(Examples!$B$7/Examples!$B$6)), TRUE)</f>
        <v>0.8550368214154499</v>
      </c>
      <c r="F45" s="1" cm="1">
        <f t="array" ref="F45">_xlfn.LET(
  _xlpm.k,$A45-1,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3.5207204529144288E-3</v>
      </c>
      <c r="G45" s="14">
        <f>F45*(E45-E44)*Examples!$B$8</f>
        <v>158.55722569605499</v>
      </c>
      <c r="H45" s="19">
        <f t="shared" si="7"/>
        <v>328987.12984112662</v>
      </c>
    </row>
    <row r="46" spans="1:8" x14ac:dyDescent="0.2">
      <c r="A46">
        <v>27</v>
      </c>
      <c r="B46">
        <f t="shared" si="5"/>
        <v>1.8387405149585009E-3</v>
      </c>
      <c r="C46">
        <f t="shared" si="6"/>
        <v>26</v>
      </c>
      <c r="D46" s="6">
        <f>-PMT(Examples!$B$5, C46+1, Examples!$B$4, 0, 0)/12</f>
        <v>602.62927422899827</v>
      </c>
      <c r="E46" s="1">
        <f>1-_xlfn.LOGNORM.DIST(D46, LN(Examples!$B$6), SQRT(2*LN(Examples!$B$7/Examples!$B$6)), TRUE)</f>
        <v>0.8634580451387992</v>
      </c>
      <c r="F46" s="1" cm="1">
        <f t="array" ref="F46">_xlfn.LET(
  _xlpm.k,$A46-1,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3.5207204529144288E-3</v>
      </c>
      <c r="G46" s="14">
        <f>F46*(E46-E45)*Examples!$B$8</f>
        <v>143.57166196663209</v>
      </c>
      <c r="H46" s="19">
        <f t="shared" si="7"/>
        <v>329130.70150309324</v>
      </c>
    </row>
    <row r="47" spans="1:8" x14ac:dyDescent="0.2">
      <c r="A47">
        <v>28</v>
      </c>
      <c r="B47">
        <f t="shared" si="5"/>
        <v>1.8387405149585009E-3</v>
      </c>
      <c r="C47">
        <f t="shared" si="6"/>
        <v>27</v>
      </c>
      <c r="D47" s="6">
        <f>-PMT(Examples!$B$5, C47+1, Examples!$B$4, 0, 0)/12</f>
        <v>589.61088781261037</v>
      </c>
      <c r="E47" s="1">
        <f>1-_xlfn.LOGNORM.DIST(D47, LN(Examples!$B$6), SQRT(2*LN(Examples!$B$7/Examples!$B$6)), TRUE)</f>
        <v>0.87110049379888466</v>
      </c>
      <c r="F47" s="1" cm="1">
        <f t="array" ref="F47">_xlfn.LET(
  _xlpm.k,$A47-1,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3.5207204529144288E-3</v>
      </c>
      <c r="G47" s="14">
        <f>F47*(E47-E46)*Examples!$B$8</f>
        <v>130.29449064283182</v>
      </c>
      <c r="H47" s="19">
        <f t="shared" si="7"/>
        <v>329260.99599373608</v>
      </c>
    </row>
    <row r="48" spans="1:8" x14ac:dyDescent="0.2">
      <c r="A48">
        <v>29</v>
      </c>
      <c r="B48">
        <f t="shared" si="5"/>
        <v>1.8387405149585009E-3</v>
      </c>
      <c r="C48">
        <f t="shared" si="6"/>
        <v>28</v>
      </c>
      <c r="D48" s="6">
        <f>-PMT(Examples!$B$5, C48+1, Examples!$B$4, 0, 0)/12</f>
        <v>577.55606768636073</v>
      </c>
      <c r="E48" s="1">
        <f>1-_xlfn.LOGNORM.DIST(D48, LN(Examples!$B$6), SQRT(2*LN(Examples!$B$7/Examples!$B$6)), TRUE)</f>
        <v>0.87805140006108551</v>
      </c>
      <c r="F48" s="1" cm="1">
        <f t="array" ref="F48">_xlfn.LET(
  _xlpm.k,$A48-1,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3.5207204529144288E-3</v>
      </c>
      <c r="G48" s="14">
        <f>F48*(E48-E47)*Examples!$B$8</f>
        <v>118.50453057926113</v>
      </c>
      <c r="H48" s="19">
        <f t="shared" si="7"/>
        <v>329379.50052431534</v>
      </c>
    </row>
    <row r="49" spans="1:8" x14ac:dyDescent="0.2">
      <c r="A49">
        <v>30</v>
      </c>
      <c r="B49">
        <f t="shared" si="5"/>
        <v>1.8387405149585009E-3</v>
      </c>
      <c r="C49">
        <f t="shared" si="6"/>
        <v>29</v>
      </c>
      <c r="D49" s="6">
        <f>-PMT(Examples!$B$5, C49+1, Examples!$B$4, 0, 0)/12</f>
        <v>566.36803757732866</v>
      </c>
      <c r="E49" s="1">
        <f>1-_xlfn.LOGNORM.DIST(D49, LN(Examples!$B$6), SQRT(2*LN(Examples!$B$7/Examples!$B$6)), TRUE)</f>
        <v>0.88438683951529229</v>
      </c>
      <c r="F49" s="1" cm="1">
        <f t="array" ref="F49">_xlfn.LET(
  _xlpm.k,$A49-1,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3.5207204529144288E-3</v>
      </c>
      <c r="G49" s="14">
        <f>F49*(E49-E48)*Examples!$B$8</f>
        <v>108.0115671559046</v>
      </c>
      <c r="H49" s="19">
        <f t="shared" si="7"/>
        <v>329487.51209147123</v>
      </c>
    </row>
    <row r="50" spans="1:8" x14ac:dyDescent="0.2">
      <c r="A50" t="s">
        <v>37</v>
      </c>
    </row>
    <row r="51" spans="1:8" x14ac:dyDescent="0.2">
      <c r="F51" s="8" t="s">
        <v>21</v>
      </c>
      <c r="G51" s="15">
        <f>SUM(G20:G49)</f>
        <v>329487.51209147123</v>
      </c>
    </row>
    <row r="52" spans="1:8" x14ac:dyDescent="0.2">
      <c r="F52" s="8" t="s">
        <v>55</v>
      </c>
      <c r="G52" s="15">
        <f>SUM(G20:G23)</f>
        <v>153749.61746476498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50061-6B98-9844-A681-90CAF1B73706}">
  <dimension ref="A1:I52"/>
  <sheetViews>
    <sheetView topLeftCell="A19" zoomScale="131" zoomScaleNormal="131" workbookViewId="0">
      <selection activeCell="I25" sqref="I25"/>
    </sheetView>
  </sheetViews>
  <sheetFormatPr baseColWidth="10" defaultRowHeight="16" x14ac:dyDescent="0.2"/>
  <cols>
    <col min="4" max="4" width="14" customWidth="1"/>
    <col min="7" max="7" width="16.1640625" customWidth="1"/>
  </cols>
  <sheetData>
    <row r="1" spans="1:9" ht="24" x14ac:dyDescent="0.3">
      <c r="A1" s="11" t="s">
        <v>38</v>
      </c>
    </row>
    <row r="2" spans="1:9" x14ac:dyDescent="0.2">
      <c r="A2" t="s">
        <v>56</v>
      </c>
    </row>
    <row r="4" spans="1:9" x14ac:dyDescent="0.2">
      <c r="A4" s="5" t="s">
        <v>39</v>
      </c>
    </row>
    <row r="6" spans="1:9" s="12" customFormat="1" ht="69" thickBot="1" x14ac:dyDescent="0.25">
      <c r="A6" s="12" t="s">
        <v>40</v>
      </c>
      <c r="B6" s="12" t="s">
        <v>33</v>
      </c>
      <c r="C6" s="12" t="s">
        <v>34</v>
      </c>
      <c r="D6" s="12" t="s">
        <v>41</v>
      </c>
      <c r="E6" s="12" t="s">
        <v>42</v>
      </c>
      <c r="F6" s="12" t="s">
        <v>43</v>
      </c>
      <c r="G6" s="12" t="s">
        <v>44</v>
      </c>
      <c r="H6" s="12" t="s">
        <v>45</v>
      </c>
      <c r="I6" s="12" t="s">
        <v>46</v>
      </c>
    </row>
    <row r="7" spans="1:9" x14ac:dyDescent="0.2">
      <c r="A7" t="s">
        <v>9</v>
      </c>
      <c r="B7" s="13">
        <v>0</v>
      </c>
      <c r="C7">
        <v>1</v>
      </c>
      <c r="D7" s="16">
        <v>0.20701011848912107</v>
      </c>
      <c r="E7">
        <f t="shared" ref="E7:E13" si="0">IF(C7="",20,C7-B7)</f>
        <v>1</v>
      </c>
      <c r="F7">
        <f t="shared" ref="F7:F14" si="1">D7/E7</f>
        <v>0.20701011848912107</v>
      </c>
      <c r="G7">
        <f t="shared" ref="G7:G14" si="2">$F$7</f>
        <v>0.20701011848912107</v>
      </c>
      <c r="H7" s="1">
        <f>1</f>
        <v>1</v>
      </c>
      <c r="I7" s="1">
        <f t="shared" ref="I7:I13" si="3">H8</f>
        <v>0.70724709316632617</v>
      </c>
    </row>
    <row r="8" spans="1:9" x14ac:dyDescent="0.2">
      <c r="A8" t="s">
        <v>23</v>
      </c>
      <c r="B8" s="13">
        <v>1</v>
      </c>
      <c r="C8">
        <v>2</v>
      </c>
      <c r="D8" s="17">
        <v>0.14640730455744763</v>
      </c>
      <c r="E8">
        <f t="shared" si="0"/>
        <v>1</v>
      </c>
      <c r="F8">
        <f t="shared" si="1"/>
        <v>0.14640730455744763</v>
      </c>
      <c r="G8">
        <f t="shared" si="2"/>
        <v>0.20701011848912107</v>
      </c>
      <c r="H8" s="1">
        <f t="shared" ref="H8:H14" si="4">F8/$F$7</f>
        <v>0.70724709316632617</v>
      </c>
      <c r="I8" s="1">
        <f t="shared" si="3"/>
        <v>0.72910006487174372</v>
      </c>
    </row>
    <row r="9" spans="1:9" x14ac:dyDescent="0.2">
      <c r="A9" t="s">
        <v>24</v>
      </c>
      <c r="B9" s="13">
        <v>2</v>
      </c>
      <c r="C9">
        <v>3</v>
      </c>
      <c r="D9" s="17">
        <v>0.15093109081952552</v>
      </c>
      <c r="E9">
        <f t="shared" si="0"/>
        <v>1</v>
      </c>
      <c r="F9">
        <f t="shared" si="1"/>
        <v>0.15093109081952552</v>
      </c>
      <c r="G9">
        <f t="shared" si="2"/>
        <v>0.20701011848912107</v>
      </c>
      <c r="H9" s="1">
        <f t="shared" si="4"/>
        <v>0.72910006487174372</v>
      </c>
      <c r="I9" s="1">
        <f t="shared" si="3"/>
        <v>0.46541011495091056</v>
      </c>
    </row>
    <row r="10" spans="1:9" x14ac:dyDescent="0.2">
      <c r="A10" t="s">
        <v>25</v>
      </c>
      <c r="B10" s="13">
        <v>3</v>
      </c>
      <c r="C10">
        <v>5</v>
      </c>
      <c r="D10" s="17">
        <v>0.19268920608404691</v>
      </c>
      <c r="E10">
        <f t="shared" si="0"/>
        <v>2</v>
      </c>
      <c r="F10">
        <f t="shared" si="1"/>
        <v>9.6344603042023455E-2</v>
      </c>
      <c r="G10">
        <f t="shared" si="2"/>
        <v>0.20701011848912107</v>
      </c>
      <c r="H10" s="1">
        <f t="shared" si="4"/>
        <v>0.46541011495091056</v>
      </c>
      <c r="I10" s="1">
        <f t="shared" si="3"/>
        <v>0.15609064767045064</v>
      </c>
    </row>
    <row r="11" spans="1:9" x14ac:dyDescent="0.2">
      <c r="A11" t="s">
        <v>26</v>
      </c>
      <c r="B11" s="13">
        <v>5</v>
      </c>
      <c r="C11">
        <v>10</v>
      </c>
      <c r="D11" s="17">
        <v>0.1615617173465182</v>
      </c>
      <c r="E11">
        <f t="shared" si="0"/>
        <v>5</v>
      </c>
      <c r="F11">
        <f t="shared" si="1"/>
        <v>3.2312343469303638E-2</v>
      </c>
      <c r="G11">
        <f t="shared" si="2"/>
        <v>0.20701011848912107</v>
      </c>
      <c r="H11" s="1">
        <f t="shared" si="4"/>
        <v>0.15609064767045064</v>
      </c>
      <c r="I11" s="1">
        <f t="shared" si="3"/>
        <v>5.4389353263492549E-2</v>
      </c>
    </row>
    <row r="12" spans="1:9" x14ac:dyDescent="0.2">
      <c r="A12" t="s">
        <v>27</v>
      </c>
      <c r="B12" s="13">
        <v>10</v>
      </c>
      <c r="C12">
        <v>20</v>
      </c>
      <c r="D12" s="17">
        <v>0.11259146463622256</v>
      </c>
      <c r="E12">
        <f t="shared" si="0"/>
        <v>10</v>
      </c>
      <c r="F12">
        <f t="shared" si="1"/>
        <v>1.1259146463622256E-2</v>
      </c>
      <c r="G12">
        <f t="shared" si="2"/>
        <v>0.20701011848912107</v>
      </c>
      <c r="H12" s="1">
        <f t="shared" si="4"/>
        <v>5.4389353263492549E-2</v>
      </c>
      <c r="I12" s="1">
        <f t="shared" si="3"/>
        <v>8.5066331576165877E-3</v>
      </c>
    </row>
    <row r="13" spans="1:9" x14ac:dyDescent="0.2">
      <c r="A13" t="s">
        <v>28</v>
      </c>
      <c r="B13" s="13">
        <v>20</v>
      </c>
      <c r="C13">
        <v>30</v>
      </c>
      <c r="D13" s="17">
        <v>1.7609591379016961E-2</v>
      </c>
      <c r="E13">
        <f t="shared" si="0"/>
        <v>10</v>
      </c>
      <c r="F13">
        <f t="shared" si="1"/>
        <v>1.760959137901696E-3</v>
      </c>
      <c r="G13">
        <f t="shared" si="2"/>
        <v>0.20701011848912107</v>
      </c>
      <c r="H13" s="1">
        <f t="shared" si="4"/>
        <v>8.5066331576165877E-3</v>
      </c>
      <c r="I13" s="1">
        <f t="shared" si="3"/>
        <v>2.7050626244363649E-3</v>
      </c>
    </row>
    <row r="14" spans="1:9" ht="17" thickBot="1" x14ac:dyDescent="0.25">
      <c r="A14" t="s">
        <v>29</v>
      </c>
      <c r="B14" s="13">
        <v>30</v>
      </c>
      <c r="C14" t="s">
        <v>35</v>
      </c>
      <c r="D14" s="18">
        <v>1.1199506688101294E-2</v>
      </c>
      <c r="E14">
        <f>IF(C14="",Examples!B10,C14-B14)</f>
        <v>20</v>
      </c>
      <c r="F14">
        <f t="shared" si="1"/>
        <v>5.5997533440506472E-4</v>
      </c>
      <c r="G14">
        <f t="shared" si="2"/>
        <v>0.20701011848912107</v>
      </c>
      <c r="H14" s="1">
        <f t="shared" si="4"/>
        <v>2.7050626244363649E-3</v>
      </c>
      <c r="I14" s="1">
        <f>H14</f>
        <v>2.7050626244363649E-3</v>
      </c>
    </row>
    <row r="15" spans="1:9" x14ac:dyDescent="0.2">
      <c r="B15" s="2"/>
    </row>
    <row r="16" spans="1:9" x14ac:dyDescent="0.2">
      <c r="B16" s="2"/>
    </row>
    <row r="17" spans="1:7" x14ac:dyDescent="0.2">
      <c r="A17" s="5" t="s">
        <v>47</v>
      </c>
      <c r="B17" s="2"/>
    </row>
    <row r="19" spans="1:7" s="12" customFormat="1" ht="102" x14ac:dyDescent="0.2">
      <c r="A19" s="12" t="s">
        <v>48</v>
      </c>
      <c r="B19" s="12" t="s">
        <v>49</v>
      </c>
      <c r="C19" s="12" t="s">
        <v>50</v>
      </c>
      <c r="D19" s="12" t="s">
        <v>51</v>
      </c>
      <c r="E19" s="12" t="s">
        <v>52</v>
      </c>
      <c r="F19" s="12" t="s">
        <v>53</v>
      </c>
      <c r="G19" s="12" t="s">
        <v>54</v>
      </c>
    </row>
    <row r="20" spans="1:7" x14ac:dyDescent="0.2">
      <c r="A20">
        <v>1</v>
      </c>
      <c r="B20">
        <f t="shared" ref="B20:B49" si="5">_xlfn.LET(
  _xlpm.k,$A20,
  _xlpm.a,_xlpm.k-1,
  _xlpm.i,MATCH(_xlpm.a,$B$7:$B$14,1),
  _xlpm.L,INDEX($B$7:$B$14,_xlpm.i),
  _xlpm.U,INDEX($C$7:$C$14,_xlpm.i),
  _xlpm.p,INDEX($D$7:$D$14,_xlpm.i),
  _xlpm.w,IF(ISBLANK(_xlpm.U),1,_xlpm.U-_xlpm.L),
  _xlpm.p/_xlpm.w
)</f>
        <v>0.20701011848912107</v>
      </c>
      <c r="C20">
        <f t="shared" ref="C20:C49" si="6">A20-1</f>
        <v>0</v>
      </c>
      <c r="D20" s="6">
        <f>-PMT(Examples!$B$5, C20+1, Examples!$B$4, 0, 0)/12</f>
        <v>10781.250000000002</v>
      </c>
      <c r="E20" s="1">
        <f>1-_xlfn.LOGNORM.DIST(D20, LN(Examples!$B$6), SQRT(2*LN(Examples!$B$7/Examples!$B$6)), TRUE)</f>
        <v>1.5411561729106182E-4</v>
      </c>
      <c r="F20" s="1" cm="1">
        <f t="array" ref="F20">_xlfn.LET(
  _xlpm.k,$A20-1,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</v>
      </c>
      <c r="G20" s="14">
        <f>F20*E20*Examples!$B$8</f>
        <v>746.29173066981184</v>
      </c>
    </row>
    <row r="21" spans="1:7" x14ac:dyDescent="0.2">
      <c r="A21">
        <v>2</v>
      </c>
      <c r="B21">
        <f t="shared" si="5"/>
        <v>0.14640730455744763</v>
      </c>
      <c r="C21">
        <f t="shared" si="6"/>
        <v>1</v>
      </c>
      <c r="D21" s="6">
        <f>-PMT(Examples!$B$5, C21+1, Examples!$B$4, 0, 0)/12</f>
        <v>5483.3384520884538</v>
      </c>
      <c r="E21" s="1">
        <f>1-_xlfn.LOGNORM.DIST(D21, LN(Examples!$B$6), SQRT(2*LN(Examples!$B$7/Examples!$B$6)), TRUE)</f>
        <v>6.1128336080590318E-3</v>
      </c>
      <c r="F21" s="1" cm="1">
        <f t="array" ref="F21">_xlfn.LET(
  _xlpm.k,$A21-1,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0.70724709316632617</v>
      </c>
      <c r="G21" s="14">
        <f>F21*(E21-E20)*Examples!$B$8</f>
        <v>20407.320369718724</v>
      </c>
    </row>
    <row r="22" spans="1:7" x14ac:dyDescent="0.2">
      <c r="A22">
        <v>3</v>
      </c>
      <c r="B22">
        <f t="shared" si="5"/>
        <v>0.15093109081952552</v>
      </c>
      <c r="C22">
        <f t="shared" si="6"/>
        <v>2</v>
      </c>
      <c r="D22" s="6">
        <f>-PMT(Examples!$B$5, C22+1, Examples!$B$4, 0, 0)/12</f>
        <v>3718.0643807998463</v>
      </c>
      <c r="E22" s="1">
        <f>1-_xlfn.LOGNORM.DIST(D22, LN(Examples!$B$6), SQRT(2*LN(Examples!$B$7/Examples!$B$6)), TRUE)</f>
        <v>3.061048389852572E-2</v>
      </c>
      <c r="F22" s="1" cm="1">
        <f t="array" ref="F22">_xlfn.LET(
  _xlpm.k,$A22-1,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0.72910006487174372</v>
      </c>
      <c r="G22" s="14">
        <f>F22*(E22-E21)*Examples!$B$8</f>
        <v>86491.523465768303</v>
      </c>
    </row>
    <row r="23" spans="1:7" x14ac:dyDescent="0.2">
      <c r="A23">
        <v>4</v>
      </c>
      <c r="B23">
        <f t="shared" si="5"/>
        <v>9.6344603042023455E-2</v>
      </c>
      <c r="C23">
        <f t="shared" si="6"/>
        <v>3</v>
      </c>
      <c r="D23" s="6">
        <f>-PMT(Examples!$B$5, C23+1, Examples!$B$4, 0, 0)/12</f>
        <v>2835.9493697393827</v>
      </c>
      <c r="E23" s="1">
        <f>1-_xlfn.LOGNORM.DIST(D23, LN(Examples!$B$6), SQRT(2*LN(Examples!$B$7/Examples!$B$6)), TRUE)</f>
        <v>7.6333469028426637E-2</v>
      </c>
      <c r="F23" s="1" cm="1">
        <f t="array" ref="F23">_xlfn.LET(
  _xlpm.k,$A23-1,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0.46541011495091056</v>
      </c>
      <c r="G23" s="14">
        <f>F23*(E23-E22)*Examples!$B$8</f>
        <v>103046.29313414787</v>
      </c>
    </row>
    <row r="24" spans="1:7" x14ac:dyDescent="0.2">
      <c r="A24">
        <v>5</v>
      </c>
      <c r="B24">
        <f t="shared" si="5"/>
        <v>9.6344603042023455E-2</v>
      </c>
      <c r="C24">
        <f t="shared" si="6"/>
        <v>4</v>
      </c>
      <c r="D24" s="6">
        <f>-PMT(Examples!$B$5, C24+1, Examples!$B$4, 0, 0)/12</f>
        <v>2307.0976370635358</v>
      </c>
      <c r="E24" s="1">
        <f>1-_xlfn.LOGNORM.DIST(D24, LN(Examples!$B$6), SQRT(2*LN(Examples!$B$7/Examples!$B$6)), TRUE)</f>
        <v>0.13707501747893536</v>
      </c>
      <c r="F24" s="1" cm="1">
        <f t="array" ref="F24">_xlfn.LET(
  _xlpm.k,$A24-1,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0.19273007048579466</v>
      </c>
      <c r="G24" s="14">
        <f>F24*(E24-E23)*Examples!$B$8</f>
        <v>56688.807128950139</v>
      </c>
    </row>
    <row r="25" spans="1:7" x14ac:dyDescent="0.2">
      <c r="A25">
        <v>6</v>
      </c>
      <c r="B25">
        <f t="shared" si="5"/>
        <v>3.2312343469303638E-2</v>
      </c>
      <c r="C25">
        <f t="shared" si="6"/>
        <v>5</v>
      </c>
      <c r="D25" s="6">
        <f>-PMT(Examples!$B$5, C25+1, Examples!$B$4, 0, 0)/12</f>
        <v>1954.8771735970593</v>
      </c>
      <c r="E25" s="1">
        <f>1-_xlfn.LOGNORM.DIST(D25, LN(Examples!$B$6), SQRT(2*LN(Examples!$B$7/Examples!$B$6)), TRUE)</f>
        <v>0.20515255124296772</v>
      </c>
      <c r="F25" s="1" cm="1">
        <f t="array" ref="F25">_xlfn.LET(
  _xlpm.k,$A25-1,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0.15609064767045064</v>
      </c>
      <c r="G25" s="14">
        <f>F25*(E25-E24)*Examples!$B$8</f>
        <v>51456.788316572376</v>
      </c>
    </row>
    <row r="26" spans="1:7" x14ac:dyDescent="0.2">
      <c r="A26">
        <v>7</v>
      </c>
      <c r="B26">
        <f t="shared" si="5"/>
        <v>3.2312343469303638E-2</v>
      </c>
      <c r="C26">
        <f t="shared" si="6"/>
        <v>6</v>
      </c>
      <c r="D26" s="6">
        <f>-PMT(Examples!$B$5, C26+1, Examples!$B$4, 0, 0)/12</f>
        <v>1703.5884769086354</v>
      </c>
      <c r="E26" s="1">
        <f>1-_xlfn.LOGNORM.DIST(D26, LN(Examples!$B$6), SQRT(2*LN(Examples!$B$7/Examples!$B$6)), TRUE)</f>
        <v>0.2746048197361729</v>
      </c>
      <c r="F26" s="1" cm="1">
        <f t="array" ref="F26">_xlfn.LET(
  _xlpm.k,$A26-1,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0.11423952028949368</v>
      </c>
      <c r="G26" s="14">
        <f>F26*(E26-E25)*Examples!$B$8</f>
        <v>38420.656862550451</v>
      </c>
    </row>
    <row r="27" spans="1:7" x14ac:dyDescent="0.2">
      <c r="A27">
        <v>8</v>
      </c>
      <c r="B27">
        <f t="shared" si="5"/>
        <v>3.2312343469303638E-2</v>
      </c>
      <c r="C27">
        <f t="shared" si="6"/>
        <v>7</v>
      </c>
      <c r="D27" s="6">
        <f>-PMT(Examples!$B$5, C27+1, Examples!$B$4, 0, 0)/12</f>
        <v>1515.3817348809771</v>
      </c>
      <c r="E27" s="1">
        <f>1-_xlfn.LOGNORM.DIST(D27, LN(Examples!$B$6), SQRT(2*LN(Examples!$B$7/Examples!$B$6)), TRUE)</f>
        <v>0.34163577723700889</v>
      </c>
      <c r="F27" s="1" cm="1">
        <f t="array" ref="F27">_xlfn.LET(
  _xlpm.k,$A27-1,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9.489443661460556E-2</v>
      </c>
      <c r="G27" s="14">
        <f>F27*(E27-E26)*Examples!$B$8</f>
        <v>30801.945927841691</v>
      </c>
    </row>
    <row r="28" spans="1:7" x14ac:dyDescent="0.2">
      <c r="A28">
        <v>9</v>
      </c>
      <c r="B28">
        <f t="shared" si="5"/>
        <v>3.2312343469303638E-2</v>
      </c>
      <c r="C28">
        <f t="shared" si="6"/>
        <v>8</v>
      </c>
      <c r="D28" s="6">
        <f>-PMT(Examples!$B$5, C28+1, Examples!$B$4, 0, 0)/12</f>
        <v>1369.2292202792653</v>
      </c>
      <c r="E28" s="1">
        <f>1-_xlfn.LOGNORM.DIST(D28, LN(Examples!$B$6), SQRT(2*LN(Examples!$B$7/Examples!$B$6)), TRUE)</f>
        <v>0.40416289504394964</v>
      </c>
      <c r="F28" s="1" cm="1">
        <f t="array" ref="F28">_xlfn.LET(
  _xlpm.k,$A28-1,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7.8825209328470508E-2</v>
      </c>
      <c r="G28" s="14">
        <f>F28*(E28-E27)*Examples!$B$8</f>
        <v>23866.873008859027</v>
      </c>
    </row>
    <row r="29" spans="1:7" x14ac:dyDescent="0.2">
      <c r="A29">
        <v>10</v>
      </c>
      <c r="B29">
        <f t="shared" si="5"/>
        <v>3.2312343469303638E-2</v>
      </c>
      <c r="C29">
        <f t="shared" si="6"/>
        <v>9</v>
      </c>
      <c r="D29" s="6">
        <f>-PMT(Examples!$B$5, C29+1, Examples!$B$4, 0, 0)/12</f>
        <v>1252.5142486186592</v>
      </c>
      <c r="E29" s="1">
        <f>1-_xlfn.LOGNORM.DIST(D29, LN(Examples!$B$6), SQRT(2*LN(Examples!$B$7/Examples!$B$6)), TRUE)</f>
        <v>0.46125551288877098</v>
      </c>
      <c r="F29" s="1" cm="1">
        <f t="array" ref="F29">_xlfn.LET(
  _xlpm.k,$A29-1,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6.5477111697408677E-2</v>
      </c>
      <c r="G29" s="14">
        <f>F29*(E29-E28)*Examples!$B$8</f>
        <v>18102.203799834071</v>
      </c>
    </row>
    <row r="30" spans="1:7" x14ac:dyDescent="0.2">
      <c r="A30">
        <v>11</v>
      </c>
      <c r="B30">
        <f t="shared" si="5"/>
        <v>1.1259146463622256E-2</v>
      </c>
      <c r="C30">
        <f t="shared" si="6"/>
        <v>10</v>
      </c>
      <c r="D30" s="6">
        <f>-PMT(Examples!$B$5, C30+1, Examples!$B$4, 0, 0)/12</f>
        <v>1157.2079772309999</v>
      </c>
      <c r="E30" s="1">
        <f>1-_xlfn.LOGNORM.DIST(D30, LN(Examples!$B$6), SQRT(2*LN(Examples!$B$7/Examples!$B$6)), TRUE)</f>
        <v>0.51268889261218709</v>
      </c>
      <c r="F30" s="1" cm="1">
        <f t="array" ref="F30">_xlfn.LET(
  _xlpm.k,$A30-1,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5.4389353263492549E-2</v>
      </c>
      <c r="G30" s="14">
        <f>F30*(E30-E29)*Examples!$B$8</f>
        <v>13546.307725088969</v>
      </c>
    </row>
    <row r="31" spans="1:7" x14ac:dyDescent="0.2">
      <c r="A31">
        <v>12</v>
      </c>
      <c r="B31">
        <f t="shared" si="5"/>
        <v>1.1259146463622256E-2</v>
      </c>
      <c r="C31">
        <f t="shared" si="6"/>
        <v>11</v>
      </c>
      <c r="D31" s="6">
        <f>-PMT(Examples!$B$5, C31+1, Examples!$B$4, 0, 0)/12</f>
        <v>1077.9578048307078</v>
      </c>
      <c r="E31" s="1">
        <f>1-_xlfn.LOGNORM.DIST(D31, LN(Examples!$B$6), SQRT(2*LN(Examples!$B$7/Examples!$B$6)), TRUE)</f>
        <v>0.55863874844240557</v>
      </c>
      <c r="F31" s="1" cm="1">
        <f t="array" ref="F31">_xlfn.LET(
  _xlpm.k,$A31-1,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2.385503440397364E-2</v>
      </c>
      <c r="G31" s="14">
        <f>F31*(E31-E30)*Examples!$B$8</f>
        <v>5307.9421338977627</v>
      </c>
    </row>
    <row r="32" spans="1:7" x14ac:dyDescent="0.2">
      <c r="A32">
        <v>13</v>
      </c>
      <c r="B32">
        <f t="shared" si="5"/>
        <v>1.1259146463622256E-2</v>
      </c>
      <c r="C32">
        <f t="shared" si="6"/>
        <v>12</v>
      </c>
      <c r="D32" s="6">
        <f>-PMT(Examples!$B$5, C32+1, Examples!$B$4, 0, 0)/12</f>
        <v>1011.0580482336658</v>
      </c>
      <c r="E32" s="1">
        <f>1-_xlfn.LOGNORM.DIST(D32, LN(Examples!$B$6), SQRT(2*LN(Examples!$B$7/Examples!$B$6)), TRUE)</f>
        <v>0.59948700080449491</v>
      </c>
      <c r="F32" s="1" cm="1">
        <f t="array" ref="F32">_xlfn.LET(
  _xlpm.k,$A32-1,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2.1272670302193212E-2</v>
      </c>
      <c r="G32" s="14">
        <f>F32*(E32-E31)*Examples!$B$8</f>
        <v>4207.8230567678938</v>
      </c>
    </row>
    <row r="33" spans="1:7" x14ac:dyDescent="0.2">
      <c r="A33">
        <v>14</v>
      </c>
      <c r="B33">
        <f t="shared" si="5"/>
        <v>1.1259146463622256E-2</v>
      </c>
      <c r="C33">
        <f t="shared" si="6"/>
        <v>13</v>
      </c>
      <c r="D33" s="6">
        <f>-PMT(Examples!$B$5, C33+1, Examples!$B$4, 0, 0)/12</f>
        <v>953.86175765210317</v>
      </c>
      <c r="E33" s="1">
        <f>1-_xlfn.LOGNORM.DIST(D33, LN(Examples!$B$6), SQRT(2*LN(Examples!$B$7/Examples!$B$6)), TRUE)</f>
        <v>0.63570424784867097</v>
      </c>
      <c r="F33" s="1" cm="1">
        <f t="array" ref="F33">_xlfn.LET(
  _xlpm.k,$A33-1,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1.8969853244497265E-2</v>
      </c>
      <c r="G33" s="14">
        <f>F33*(E33-E32)*Examples!$B$8</f>
        <v>3326.9125544173712</v>
      </c>
    </row>
    <row r="34" spans="1:7" x14ac:dyDescent="0.2">
      <c r="A34">
        <v>15</v>
      </c>
      <c r="B34">
        <f t="shared" si="5"/>
        <v>1.1259146463622256E-2</v>
      </c>
      <c r="C34">
        <f t="shared" si="6"/>
        <v>14</v>
      </c>
      <c r="D34" s="6">
        <f>-PMT(Examples!$B$5, C34+1, Examples!$B$4, 0, 0)/12</f>
        <v>904.42780589617666</v>
      </c>
      <c r="E34" s="1">
        <f>1-_xlfn.LOGNORM.DIST(D34, LN(Examples!$B$6), SQRT(2*LN(Examples!$B$7/Examples!$B$6)), TRUE)</f>
        <v>0.66778178609736671</v>
      </c>
      <c r="F34" s="1" cm="1">
        <f t="array" ref="F34">_xlfn.LET(
  _xlpm.k,$A34-1,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1.6916321599769364E-2</v>
      </c>
      <c r="G34" s="14">
        <f>F34*(E34-E33)*Examples!$B$8</f>
        <v>2627.6586314228407</v>
      </c>
    </row>
    <row r="35" spans="1:7" x14ac:dyDescent="0.2">
      <c r="A35">
        <v>16</v>
      </c>
      <c r="B35">
        <f t="shared" si="5"/>
        <v>1.1259146463622256E-2</v>
      </c>
      <c r="C35">
        <f t="shared" si="6"/>
        <v>15</v>
      </c>
      <c r="D35" s="6">
        <f>-PMT(Examples!$B$5, C35+1, Examples!$B$4, 0, 0)/12</f>
        <v>861.30031914756876</v>
      </c>
      <c r="E35" s="1">
        <f>1-_xlfn.LOGNORM.DIST(D35, LN(Examples!$B$6), SQRT(2*LN(Examples!$B$7/Examples!$B$6)), TRUE)</f>
        <v>0.69619440759482898</v>
      </c>
      <c r="F35" s="1" cm="1">
        <f t="array" ref="F35">_xlfn.LET(
  _xlpm.k,$A35-1,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1.5085089630297102E-2</v>
      </c>
      <c r="G35" s="14">
        <f>F35*(E35-E34)*Examples!$B$8</f>
        <v>2075.4925560799311</v>
      </c>
    </row>
    <row r="36" spans="1:7" x14ac:dyDescent="0.2">
      <c r="A36">
        <v>17</v>
      </c>
      <c r="B36">
        <f t="shared" si="5"/>
        <v>1.1259146463622256E-2</v>
      </c>
      <c r="C36">
        <f t="shared" si="6"/>
        <v>16</v>
      </c>
      <c r="D36" s="6">
        <f>-PMT(Examples!$B$5, C36+1, Examples!$B$4, 0, 0)/12</f>
        <v>823.36595571611485</v>
      </c>
      <c r="E36" s="1">
        <f>1-_xlfn.LOGNORM.DIST(D36, LN(Examples!$B$6), SQRT(2*LN(Examples!$B$7/Examples!$B$6)), TRUE)</f>
        <v>0.721381766211318</v>
      </c>
      <c r="F36" s="1" cm="1">
        <f t="array" ref="F36">_xlfn.LET(
  _xlpm.k,$A36-1,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1.3452092868534712E-2</v>
      </c>
      <c r="G36" s="14">
        <f>F36*(E36-E35)*Examples!$B$8</f>
        <v>1640.7199612977904</v>
      </c>
    </row>
    <row r="37" spans="1:7" x14ac:dyDescent="0.2">
      <c r="A37">
        <v>18</v>
      </c>
      <c r="B37">
        <f t="shared" si="5"/>
        <v>1.1259146463622256E-2</v>
      </c>
      <c r="C37">
        <f t="shared" si="6"/>
        <v>17</v>
      </c>
      <c r="D37" s="6">
        <f>-PMT(Examples!$B$5, C37+1, Examples!$B$4, 0, 0)/12</f>
        <v>789.7587585633305</v>
      </c>
      <c r="E37" s="1">
        <f>1-_xlfn.LOGNORM.DIST(D37, LN(Examples!$B$6), SQRT(2*LN(Examples!$B$7/Examples!$B$6)), TRUE)</f>
        <v>0.74374063825121461</v>
      </c>
      <c r="F37" s="1" cm="1">
        <f t="array" ref="F37">_xlfn.LET(
  _xlpm.k,$A37-1,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1.1995871882672962E-2</v>
      </c>
      <c r="G37" s="14">
        <f>F37*(E37-E36)*Examples!$B$8</f>
        <v>1298.8042125921768</v>
      </c>
    </row>
    <row r="38" spans="1:7" x14ac:dyDescent="0.2">
      <c r="A38">
        <v>19</v>
      </c>
      <c r="B38">
        <f t="shared" si="5"/>
        <v>1.1259146463622256E-2</v>
      </c>
      <c r="C38">
        <f t="shared" si="6"/>
        <v>18</v>
      </c>
      <c r="D38" s="6">
        <f>-PMT(Examples!$B$5, C38+1, Examples!$B$4, 0, 0)/12</f>
        <v>759.79505441505717</v>
      </c>
      <c r="E38" s="1">
        <f>1-_xlfn.LOGNORM.DIST(D38, LN(Examples!$B$6), SQRT(2*LN(Examples!$B$7/Examples!$B$6)), TRUE)</f>
        <v>0.76362335740587217</v>
      </c>
      <c r="F38" s="1" cm="1">
        <f t="array" ref="F38">_xlfn.LET(
  _xlpm.k,$A38-1,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1.0697290275336788E-2</v>
      </c>
      <c r="G38" s="14">
        <f>F38*(E38-E37)*Examples!$B$8</f>
        <v>1029.9390818649279</v>
      </c>
    </row>
    <row r="39" spans="1:7" x14ac:dyDescent="0.2">
      <c r="A39">
        <v>20</v>
      </c>
      <c r="B39">
        <f t="shared" si="5"/>
        <v>1.1259146463622256E-2</v>
      </c>
      <c r="C39">
        <f t="shared" si="6"/>
        <v>19</v>
      </c>
      <c r="D39" s="6">
        <f>-PMT(Examples!$B$5, C39+1, Examples!$B$4, 0, 0)/12</f>
        <v>732.92788315652285</v>
      </c>
      <c r="E39" s="1">
        <f>1-_xlfn.LOGNORM.DIST(D39, LN(Examples!$B$6), SQRT(2*LN(Examples!$B$7/Examples!$B$6)), TRUE)</f>
        <v>0.78133957231377671</v>
      </c>
      <c r="F39" s="1" cm="1">
        <f t="array" ref="F39">_xlfn.LET(
  _xlpm.k,$A39-1,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9.53928320959334E-3</v>
      </c>
      <c r="G39" s="14">
        <f>F39*(E39-E38)*Examples!$B$8</f>
        <v>818.36804269649554</v>
      </c>
    </row>
    <row r="40" spans="1:7" x14ac:dyDescent="0.2">
      <c r="A40">
        <v>21</v>
      </c>
      <c r="B40">
        <f t="shared" si="5"/>
        <v>1.760959137901696E-3</v>
      </c>
      <c r="C40">
        <f t="shared" si="6"/>
        <v>20</v>
      </c>
      <c r="D40" s="6">
        <f>-PMT(Examples!$B$5, C40+1, Examples!$B$4, 0, 0)/12</f>
        <v>708.71444741518155</v>
      </c>
      <c r="E40" s="1">
        <f>1-_xlfn.LOGNORM.DIST(D40, LN(Examples!$B$6), SQRT(2*LN(Examples!$B$7/Examples!$B$6)), TRUE)</f>
        <v>0.797159634590207</v>
      </c>
      <c r="F40" s="1" cm="1">
        <f t="array" ref="F40">_xlfn.LET(
  _xlpm.k,$A40-1,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8.5066331576165877E-3</v>
      </c>
      <c r="G40" s="14">
        <f>F40*(E40-E39)*Examples!$B$8</f>
        <v>651.67021634912146</v>
      </c>
    </row>
    <row r="41" spans="1:7" x14ac:dyDescent="0.2">
      <c r="A41">
        <v>22</v>
      </c>
      <c r="B41">
        <f t="shared" si="5"/>
        <v>1.760959137901696E-3</v>
      </c>
      <c r="C41">
        <f t="shared" si="6"/>
        <v>21</v>
      </c>
      <c r="D41" s="6">
        <f>-PMT(Examples!$B$5, C41+1, Examples!$B$4, 0, 0)/12</f>
        <v>686.79243954381207</v>
      </c>
      <c r="E41" s="1">
        <f>1-_xlfn.LOGNORM.DIST(D41, LN(Examples!$B$6), SQRT(2*LN(Examples!$B$7/Examples!$B$6)), TRUE)</f>
        <v>0.81131863577091179</v>
      </c>
      <c r="F41" s="1" cm="1">
        <f t="array" ref="F41">_xlfn.LET(
  _xlpm.k,$A41-1,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2.7050626244363649E-3</v>
      </c>
      <c r="G41" s="14">
        <f>F41*(E41-E40)*Examples!$B$8</f>
        <v>185.46925227167219</v>
      </c>
    </row>
    <row r="42" spans="1:7" x14ac:dyDescent="0.2">
      <c r="A42">
        <v>23</v>
      </c>
      <c r="B42">
        <f t="shared" si="5"/>
        <v>1.760959137901696E-3</v>
      </c>
      <c r="C42">
        <f t="shared" si="6"/>
        <v>22</v>
      </c>
      <c r="D42" s="6">
        <f>-PMT(Examples!$B$5, C42+1, Examples!$B$4, 0, 0)/12</f>
        <v>666.86254418590954</v>
      </c>
      <c r="E42" s="1">
        <f>1-_xlfn.LOGNORM.DIST(D42, LN(Examples!$B$6), SQRT(2*LN(Examples!$B$7/Examples!$B$6)), TRUE)</f>
        <v>0.82402054229121913</v>
      </c>
      <c r="F42" s="1" cm="1">
        <f t="array" ref="F42">_xlfn.LET(
  _xlpm.k,$A42-1,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2.7050626244363649E-3</v>
      </c>
      <c r="G42" s="14">
        <f>F42*(E42-E41)*Examples!$B$8</f>
        <v>166.38271829205505</v>
      </c>
    </row>
    <row r="43" spans="1:7" x14ac:dyDescent="0.2">
      <c r="A43">
        <v>24</v>
      </c>
      <c r="B43">
        <f t="shared" si="5"/>
        <v>1.760959137901696E-3</v>
      </c>
      <c r="C43">
        <f t="shared" si="6"/>
        <v>23</v>
      </c>
      <c r="D43" s="6">
        <f>-PMT(Examples!$B$5, C43+1, Examples!$B$4, 0, 0)/12</f>
        <v>648.67531521138039</v>
      </c>
      <c r="E43" s="1">
        <f>1-_xlfn.LOGNORM.DIST(D43, LN(Examples!$B$6), SQRT(2*LN(Examples!$B$7/Examples!$B$6)), TRUE)</f>
        <v>0.83544213558281566</v>
      </c>
      <c r="F43" s="1" cm="1">
        <f t="array" ref="F43">_xlfn.LET(
  _xlpm.k,$A43-1,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2.7050626244363649E-3</v>
      </c>
      <c r="G43" s="14">
        <f>F43*(E43-E42)*Examples!$B$8</f>
        <v>149.61185047645509</v>
      </c>
    </row>
    <row r="44" spans="1:7" x14ac:dyDescent="0.2">
      <c r="A44">
        <v>25</v>
      </c>
      <c r="B44">
        <f t="shared" si="5"/>
        <v>1.760959137901696E-3</v>
      </c>
      <c r="C44">
        <f t="shared" si="6"/>
        <v>24</v>
      </c>
      <c r="D44" s="6">
        <f>-PMT(Examples!$B$5, C44+1, Examples!$B$4, 0, 0)/12</f>
        <v>632.02120219837332</v>
      </c>
      <c r="E44" s="1">
        <f>1-_xlfn.LOGNORM.DIST(D44, LN(Examples!$B$6), SQRT(2*LN(Examples!$B$7/Examples!$B$6)), TRUE)</f>
        <v>0.8457366165404071</v>
      </c>
      <c r="F44" s="1" cm="1">
        <f t="array" ref="F44">_xlfn.LET(
  _xlpm.k,$A44-1,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2.7050626244363649E-3</v>
      </c>
      <c r="G44" s="14">
        <f>F44*(E44-E43)*Examples!$B$8</f>
        <v>134.84776654523975</v>
      </c>
    </row>
    <row r="45" spans="1:7" x14ac:dyDescent="0.2">
      <c r="A45">
        <v>26</v>
      </c>
      <c r="B45">
        <f t="shared" si="5"/>
        <v>1.760959137901696E-3</v>
      </c>
      <c r="C45">
        <f t="shared" si="6"/>
        <v>25</v>
      </c>
      <c r="D45" s="6">
        <f>-PMT(Examples!$B$5, C45+1, Examples!$B$4, 0, 0)/12</f>
        <v>616.72287850604005</v>
      </c>
      <c r="E45" s="1">
        <f>1-_xlfn.LOGNORM.DIST(D45, LN(Examples!$B$6), SQRT(2*LN(Examples!$B$7/Examples!$B$6)), TRUE)</f>
        <v>0.8550368214154499</v>
      </c>
      <c r="F45" s="1" cm="1">
        <f t="array" ref="F45">_xlfn.LET(
  _xlpm.k,$A45-1,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2.7050626244363649E-3</v>
      </c>
      <c r="G45" s="14">
        <f>F45*(E45-E44)*Examples!$B$8</f>
        <v>121.82370932337813</v>
      </c>
    </row>
    <row r="46" spans="1:7" x14ac:dyDescent="0.2">
      <c r="A46">
        <v>27</v>
      </c>
      <c r="B46">
        <f t="shared" si="5"/>
        <v>1.760959137901696E-3</v>
      </c>
      <c r="C46">
        <f t="shared" si="6"/>
        <v>26</v>
      </c>
      <c r="D46" s="6">
        <f>-PMT(Examples!$B$5, C46+1, Examples!$B$4, 0, 0)/12</f>
        <v>602.62927422899827</v>
      </c>
      <c r="E46" s="1">
        <f>1-_xlfn.LOGNORM.DIST(D46, LN(Examples!$B$6), SQRT(2*LN(Examples!$B$7/Examples!$B$6)), TRUE)</f>
        <v>0.8634580451387992</v>
      </c>
      <c r="F46" s="1" cm="1">
        <f t="array" ref="F46">_xlfn.LET(
  _xlpm.k,$A46-1,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2.7050626244363649E-3</v>
      </c>
      <c r="G46" s="14">
        <f>F46*(E46-E45)*Examples!$B$8</f>
        <v>110.30990443806979</v>
      </c>
    </row>
    <row r="47" spans="1:7" x14ac:dyDescent="0.2">
      <c r="A47">
        <v>28</v>
      </c>
      <c r="B47">
        <f t="shared" si="5"/>
        <v>1.760959137901696E-3</v>
      </c>
      <c r="C47">
        <f t="shared" si="6"/>
        <v>27</v>
      </c>
      <c r="D47" s="6">
        <f>-PMT(Examples!$B$5, C47+1, Examples!$B$4, 0, 0)/12</f>
        <v>589.61088781261037</v>
      </c>
      <c r="E47" s="1">
        <f>1-_xlfn.LOGNORM.DIST(D47, LN(Examples!$B$6), SQRT(2*LN(Examples!$B$7/Examples!$B$6)), TRUE)</f>
        <v>0.87110049379888466</v>
      </c>
      <c r="F47" s="1" cm="1">
        <f t="array" ref="F47">_xlfn.LET(
  _xlpm.k,$A47-1,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2.7050626244363649E-3</v>
      </c>
      <c r="G47" s="14">
        <f>F47*(E47-E46)*Examples!$B$8</f>
        <v>100.10870261401708</v>
      </c>
    </row>
    <row r="48" spans="1:7" x14ac:dyDescent="0.2">
      <c r="A48">
        <v>29</v>
      </c>
      <c r="B48">
        <f t="shared" si="5"/>
        <v>1.760959137901696E-3</v>
      </c>
      <c r="C48">
        <f t="shared" si="6"/>
        <v>28</v>
      </c>
      <c r="D48" s="6">
        <f>-PMT(Examples!$B$5, C48+1, Examples!$B$4, 0, 0)/12</f>
        <v>577.55606768636073</v>
      </c>
      <c r="E48" s="1">
        <f>1-_xlfn.LOGNORM.DIST(D48, LN(Examples!$B$6), SQRT(2*LN(Examples!$B$7/Examples!$B$6)), TRUE)</f>
        <v>0.87805140006108551</v>
      </c>
      <c r="F48" s="1" cm="1">
        <f t="array" ref="F48">_xlfn.LET(
  _xlpm.k,$A48-1,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2.7050626244363649E-3</v>
      </c>
      <c r="G48" s="14">
        <f>F48*(E48-E47)*Examples!$B$8</f>
        <v>91.050164528392585</v>
      </c>
    </row>
    <row r="49" spans="1:7" x14ac:dyDescent="0.2">
      <c r="A49">
        <v>30</v>
      </c>
      <c r="B49">
        <f t="shared" si="5"/>
        <v>1.760959137901696E-3</v>
      </c>
      <c r="C49">
        <f t="shared" si="6"/>
        <v>29</v>
      </c>
      <c r="D49" s="6">
        <f>-PMT(Examples!$B$5, C49+1, Examples!$B$4, 0, 0)/12</f>
        <v>566.36803757732866</v>
      </c>
      <c r="E49" s="1">
        <f>1-_xlfn.LOGNORM.DIST(D49, LN(Examples!$B$6), SQRT(2*LN(Examples!$B$7/Examples!$B$6)), TRUE)</f>
        <v>0.88438683951529229</v>
      </c>
      <c r="F49" s="1" cm="1">
        <f t="array" ref="F49">_xlfn.LET(
  _xlpm.k,$A49-1,
  _xlpm.i,_xlfn.XMATCH(_xlpm.k,$B$7:$B$14,1),
  _xlpm.L,INDEX($B$7:$B$14,_xlpm.i),
  _xlpm.U,INDEX($C$7:$C$14,_xlpm.i),
  _xlpm.SL,INDEX($H$7:$H$14,_xlpm.i),
  _xlpm.SU,INDEX($I$7:$I$14,_xlpm.i),
  IF(OR(_xlpm.U="",_xlpm.k=_xlpm.U),_xlpm.SL, _xlpm.SL*POWER(_xlpm.SU/_xlpm.SL,(_xlpm.k-_xlpm.L)/(_xlpm.U-_xlpm.L)))
)</f>
        <v>2.7050626244363649E-3</v>
      </c>
      <c r="G49" s="14">
        <f>F49*(E49-E48)*Examples!$B$8</f>
        <v>82.988143258682442</v>
      </c>
    </row>
    <row r="50" spans="1:7" x14ac:dyDescent="0.2">
      <c r="A50" t="s">
        <v>37</v>
      </c>
    </row>
    <row r="51" spans="1:7" x14ac:dyDescent="0.2">
      <c r="F51" s="8" t="s">
        <v>21</v>
      </c>
      <c r="G51" s="15">
        <f>SUM(G20:G49)</f>
        <v>467702.93412913586</v>
      </c>
    </row>
    <row r="52" spans="1:7" x14ac:dyDescent="0.2">
      <c r="F52" s="8" t="s">
        <v>55</v>
      </c>
      <c r="G52" s="15">
        <f>SUM(G20:G23)</f>
        <v>210691.42870030471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Examples</vt:lpstr>
      <vt:lpstr>2018-19 estimates</vt:lpstr>
      <vt:lpstr>2020-21 estimates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Neidle</dc:creator>
  <cp:lastModifiedBy>Dan Neidle</cp:lastModifiedBy>
  <dcterms:created xsi:type="dcterms:W3CDTF">2026-01-26T08:47:44Z</dcterms:created>
  <dcterms:modified xsi:type="dcterms:W3CDTF">2026-01-28T17:17:36Z</dcterms:modified>
</cp:coreProperties>
</file>